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ЄПК\ЄПК стандартний\"/>
    </mc:Choice>
  </mc:AlternateContent>
  <bookViews>
    <workbookView xWindow="480" yWindow="80" windowWidth="18200" windowHeight="11020"/>
  </bookViews>
  <sheets>
    <sheet name="паспорт" sheetId="1" r:id="rId1"/>
    <sheet name="графік" sheetId="3" r:id="rId2"/>
    <sheet name="дод 1 до дог кред" sheetId="4" r:id="rId3"/>
    <sheet name="Лист1" sheetId="5" state="hidden" r:id="rId4"/>
  </sheets>
  <calcPr calcId="152511"/>
</workbook>
</file>

<file path=xl/calcChain.xml><?xml version="1.0" encoding="utf-8"?>
<calcChain xmlns="http://schemas.openxmlformats.org/spreadsheetml/2006/main">
  <c r="C71" i="1" l="1"/>
  <c r="B8" i="1"/>
  <c r="A71" i="1" l="1"/>
  <c r="C72" i="1"/>
  <c r="B71" i="1" s="1"/>
  <c r="D23" i="1" l="1"/>
  <c r="B23" i="1" s="1"/>
  <c r="P8" i="3" l="1"/>
  <c r="Q15" i="3" l="1"/>
  <c r="Q14" i="3"/>
  <c r="P11" i="3"/>
  <c r="C54" i="1" l="1"/>
  <c r="D54" i="1" s="1"/>
  <c r="B54" i="1" s="1"/>
  <c r="O32" i="4"/>
  <c r="N32" i="4"/>
  <c r="M32" i="4"/>
  <c r="L32" i="4"/>
  <c r="O31" i="4"/>
  <c r="N31" i="4"/>
  <c r="M31" i="4"/>
  <c r="L31" i="4"/>
  <c r="O30" i="4"/>
  <c r="N30" i="4"/>
  <c r="M30" i="4"/>
  <c r="L30" i="4"/>
  <c r="K32" i="4"/>
  <c r="J32" i="4"/>
  <c r="K31" i="4"/>
  <c r="J31" i="4"/>
  <c r="K30" i="4"/>
  <c r="J30" i="4"/>
  <c r="R17" i="3"/>
  <c r="O28" i="3" s="1"/>
  <c r="K29" i="4" s="1"/>
  <c r="Q10" i="4" s="1"/>
  <c r="R16" i="3"/>
  <c r="R13" i="3"/>
  <c r="J28" i="3" s="1"/>
  <c r="R12" i="3"/>
  <c r="R15" i="3"/>
  <c r="R14" i="3"/>
  <c r="R11" i="3"/>
  <c r="N28" i="3" s="1"/>
  <c r="J29" i="4" s="1"/>
  <c r="Q8" i="4" s="1"/>
  <c r="K28" i="3" l="1"/>
  <c r="N29" i="4" s="1"/>
  <c r="M29" i="4"/>
  <c r="C53" i="1"/>
  <c r="L28" i="3"/>
  <c r="I28" i="3"/>
  <c r="B39" i="1"/>
  <c r="O29" i="4" l="1"/>
  <c r="C55" i="1"/>
  <c r="L29" i="4"/>
  <c r="C52" i="1"/>
  <c r="D52" i="1" s="1"/>
  <c r="B52" i="1" s="1"/>
  <c r="D53" i="1"/>
  <c r="B53" i="1" s="1"/>
  <c r="P28" i="3"/>
  <c r="H29" i="4"/>
  <c r="Q11" i="4" l="1"/>
  <c r="D55" i="1"/>
  <c r="B55" i="1" s="1"/>
  <c r="Q21" i="3"/>
  <c r="B37" i="1"/>
  <c r="F3" i="3"/>
  <c r="F23" i="3" s="1"/>
  <c r="F24" i="3"/>
  <c r="D8" i="3" l="1"/>
  <c r="D9" i="3"/>
  <c r="F6" i="3"/>
  <c r="D6" i="3" s="1"/>
  <c r="I31" i="4"/>
  <c r="I32" i="4"/>
  <c r="I36" i="4"/>
  <c r="I30" i="4"/>
  <c r="Q29" i="4"/>
  <c r="P29" i="4"/>
  <c r="A30" i="4"/>
  <c r="E11" i="4"/>
  <c r="AC19" i="3"/>
  <c r="AC24" i="3"/>
  <c r="E7" i="4"/>
  <c r="B33" i="1"/>
  <c r="G9" i="3"/>
  <c r="B22" i="1"/>
  <c r="D5" i="3"/>
  <c r="D4" i="3"/>
  <c r="E6" i="4"/>
  <c r="R30" i="3" l="1"/>
  <c r="R29" i="3"/>
  <c r="F17" i="4"/>
  <c r="G17" i="4"/>
  <c r="E17" i="4"/>
  <c r="Q29" i="3"/>
  <c r="P30" i="4" s="1"/>
  <c r="Q30" i="3"/>
  <c r="P31" i="4" s="1"/>
  <c r="Q30" i="4"/>
  <c r="D7" i="3"/>
  <c r="E28" i="3" s="1"/>
  <c r="D20" i="3"/>
  <c r="A17" i="4" s="1"/>
  <c r="D3" i="3"/>
  <c r="B28" i="3" s="1"/>
  <c r="B112" i="3" s="1"/>
  <c r="A30" i="3"/>
  <c r="R31" i="3" s="1"/>
  <c r="D29" i="4" l="1"/>
  <c r="F30" i="3"/>
  <c r="F31" i="4" s="1"/>
  <c r="Q31" i="3"/>
  <c r="P32" i="4" s="1"/>
  <c r="F29" i="3"/>
  <c r="E29" i="3" s="1"/>
  <c r="M28" i="3"/>
  <c r="I29" i="4" s="1"/>
  <c r="Q5" i="4" s="1"/>
  <c r="A31" i="4"/>
  <c r="D19" i="3"/>
  <c r="C112" i="3" s="1"/>
  <c r="B37" i="3"/>
  <c r="B101" i="3"/>
  <c r="B38" i="3"/>
  <c r="B53" i="3"/>
  <c r="B100" i="3"/>
  <c r="B32" i="3"/>
  <c r="B69" i="3"/>
  <c r="B68" i="3"/>
  <c r="B74" i="3"/>
  <c r="B85" i="3"/>
  <c r="B90" i="3"/>
  <c r="B29" i="3"/>
  <c r="C29" i="3" s="1"/>
  <c r="B45" i="3"/>
  <c r="B61" i="3"/>
  <c r="B77" i="3"/>
  <c r="B93" i="3"/>
  <c r="C93" i="3" s="1"/>
  <c r="B109" i="3"/>
  <c r="B84" i="3"/>
  <c r="B110" i="3"/>
  <c r="B78" i="3"/>
  <c r="B54" i="3"/>
  <c r="B48" i="3"/>
  <c r="B33" i="3"/>
  <c r="B41" i="3"/>
  <c r="C41" i="3" s="1"/>
  <c r="B49" i="3"/>
  <c r="B57" i="3"/>
  <c r="B65" i="3"/>
  <c r="B73" i="3"/>
  <c r="B81" i="3"/>
  <c r="B89" i="3"/>
  <c r="B97" i="3"/>
  <c r="B105" i="3"/>
  <c r="B108" i="3"/>
  <c r="B92" i="3"/>
  <c r="B76" i="3"/>
  <c r="B60" i="3"/>
  <c r="B98" i="3"/>
  <c r="B86" i="3"/>
  <c r="B30" i="3"/>
  <c r="B46" i="3"/>
  <c r="C46" i="3" s="1"/>
  <c r="B70" i="3"/>
  <c r="B40" i="3"/>
  <c r="B58" i="3"/>
  <c r="B31" i="3"/>
  <c r="B35" i="3"/>
  <c r="B39" i="3"/>
  <c r="B43" i="3"/>
  <c r="B47" i="3"/>
  <c r="B51" i="3"/>
  <c r="B55" i="3"/>
  <c r="B59" i="3"/>
  <c r="B63" i="3"/>
  <c r="B67" i="3"/>
  <c r="B71" i="3"/>
  <c r="B75" i="3"/>
  <c r="B79" i="3"/>
  <c r="C79" i="3" s="1"/>
  <c r="B83" i="3"/>
  <c r="B87" i="3"/>
  <c r="B91" i="3"/>
  <c r="B95" i="3"/>
  <c r="B99" i="3"/>
  <c r="B103" i="3"/>
  <c r="B107" i="3"/>
  <c r="B111" i="3"/>
  <c r="C111" i="3" s="1"/>
  <c r="B104" i="3"/>
  <c r="B96" i="3"/>
  <c r="B88" i="3"/>
  <c r="B80" i="3"/>
  <c r="B72" i="3"/>
  <c r="B64" i="3"/>
  <c r="B56" i="3"/>
  <c r="B106" i="3"/>
  <c r="C106" i="3" s="1"/>
  <c r="B102" i="3"/>
  <c r="B94" i="3"/>
  <c r="B82" i="3"/>
  <c r="B34" i="3"/>
  <c r="B42" i="3"/>
  <c r="B50" i="3"/>
  <c r="B62" i="3"/>
  <c r="C28" i="3"/>
  <c r="E8" i="4" s="1"/>
  <c r="E9" i="4" s="1"/>
  <c r="B36" i="3"/>
  <c r="B44" i="3"/>
  <c r="B52" i="3"/>
  <c r="B66" i="3"/>
  <c r="A31" i="3"/>
  <c r="R32" i="3" s="1"/>
  <c r="C66" i="3" l="1"/>
  <c r="C34" i="3"/>
  <c r="C95" i="3"/>
  <c r="C63" i="3"/>
  <c r="C60" i="3"/>
  <c r="C78" i="3"/>
  <c r="C105" i="3"/>
  <c r="C80" i="3"/>
  <c r="C47" i="3"/>
  <c r="C73" i="3"/>
  <c r="C68" i="3"/>
  <c r="H28" i="3"/>
  <c r="O32" i="3"/>
  <c r="K33" i="4" s="1"/>
  <c r="N32" i="3"/>
  <c r="J33" i="4" s="1"/>
  <c r="C31" i="3"/>
  <c r="U31" i="3" s="1"/>
  <c r="V31" i="3" s="1"/>
  <c r="I32" i="3"/>
  <c r="L33" i="4" s="1"/>
  <c r="K32" i="3"/>
  <c r="N33" i="4" s="1"/>
  <c r="J32" i="3"/>
  <c r="M33" i="4" s="1"/>
  <c r="L32" i="3"/>
  <c r="O33" i="4" s="1"/>
  <c r="E30" i="3"/>
  <c r="C53" i="3"/>
  <c r="D30" i="4"/>
  <c r="F30" i="4"/>
  <c r="Q32" i="3"/>
  <c r="P33" i="4" s="1"/>
  <c r="C44" i="3"/>
  <c r="C50" i="3"/>
  <c r="C94" i="3"/>
  <c r="C64" i="3"/>
  <c r="C96" i="3"/>
  <c r="C103" i="3"/>
  <c r="C87" i="3"/>
  <c r="C71" i="3"/>
  <c r="C55" i="3"/>
  <c r="C39" i="3"/>
  <c r="C40" i="3"/>
  <c r="C86" i="3"/>
  <c r="C36" i="3"/>
  <c r="C42" i="3"/>
  <c r="C102" i="3"/>
  <c r="C72" i="3"/>
  <c r="C104" i="3"/>
  <c r="C99" i="3"/>
  <c r="C83" i="3"/>
  <c r="C67" i="3"/>
  <c r="C51" i="3"/>
  <c r="C35" i="3"/>
  <c r="C70" i="3"/>
  <c r="C98" i="3"/>
  <c r="C52" i="3"/>
  <c r="C62" i="3"/>
  <c r="C82" i="3"/>
  <c r="C56" i="3"/>
  <c r="C88" i="3"/>
  <c r="C107" i="3"/>
  <c r="C91" i="3"/>
  <c r="C75" i="3"/>
  <c r="C59" i="3"/>
  <c r="C43" i="3"/>
  <c r="C58" i="3"/>
  <c r="C30" i="3"/>
  <c r="S30" i="3" s="1"/>
  <c r="T30" i="3" s="1"/>
  <c r="C76" i="3"/>
  <c r="C97" i="3"/>
  <c r="C65" i="3"/>
  <c r="C33" i="3"/>
  <c r="C110" i="3"/>
  <c r="C77" i="3"/>
  <c r="C90" i="3"/>
  <c r="C69" i="3"/>
  <c r="C38" i="3"/>
  <c r="C108" i="3"/>
  <c r="C81" i="3"/>
  <c r="C49" i="3"/>
  <c r="C54" i="3"/>
  <c r="C109" i="3"/>
  <c r="C45" i="3"/>
  <c r="C74" i="3"/>
  <c r="C100" i="3"/>
  <c r="C37" i="3"/>
  <c r="C92" i="3"/>
  <c r="C89" i="3"/>
  <c r="C57" i="3"/>
  <c r="C48" i="3"/>
  <c r="C84" i="3"/>
  <c r="C61" i="3"/>
  <c r="C85" i="3"/>
  <c r="C32" i="3"/>
  <c r="C101" i="3"/>
  <c r="D38" i="3"/>
  <c r="C39" i="4" s="1"/>
  <c r="D36" i="3"/>
  <c r="C37" i="4" s="1"/>
  <c r="D34" i="3"/>
  <c r="C35" i="4" s="1"/>
  <c r="D33" i="3"/>
  <c r="C34" i="4" s="1"/>
  <c r="D39" i="3"/>
  <c r="C40" i="4" s="1"/>
  <c r="D29" i="3"/>
  <c r="C30" i="4" s="1"/>
  <c r="D31" i="3"/>
  <c r="C32" i="4" s="1"/>
  <c r="D30" i="3"/>
  <c r="C31" i="4" s="1"/>
  <c r="D35" i="3"/>
  <c r="C36" i="4" s="1"/>
  <c r="D37" i="3"/>
  <c r="C38" i="4" s="1"/>
  <c r="D40" i="3"/>
  <c r="C41" i="4" s="1"/>
  <c r="D32" i="3"/>
  <c r="C33" i="4" s="1"/>
  <c r="B29" i="4"/>
  <c r="A32" i="3"/>
  <c r="R33" i="3" s="1"/>
  <c r="M32" i="3"/>
  <c r="I33" i="4" s="1"/>
  <c r="A32" i="4"/>
  <c r="D31" i="4"/>
  <c r="S29" i="3"/>
  <c r="T29" i="3" s="1"/>
  <c r="B30" i="4"/>
  <c r="Q31" i="4" s="1"/>
  <c r="U29" i="3"/>
  <c r="V29" i="3" s="1"/>
  <c r="O33" i="3" l="1"/>
  <c r="K34" i="4" s="1"/>
  <c r="N33" i="3"/>
  <c r="J34" i="4" s="1"/>
  <c r="L33" i="3"/>
  <c r="O34" i="4" s="1"/>
  <c r="J33" i="3"/>
  <c r="M34" i="4" s="1"/>
  <c r="K33" i="3"/>
  <c r="N34" i="4" s="1"/>
  <c r="I33" i="3"/>
  <c r="L34" i="4" s="1"/>
  <c r="Q33" i="3"/>
  <c r="P34" i="4" s="1"/>
  <c r="U30" i="3"/>
  <c r="V30" i="3" s="1"/>
  <c r="W30" i="3" s="1"/>
  <c r="B31" i="4"/>
  <c r="Q32" i="4" s="1"/>
  <c r="W29" i="3"/>
  <c r="W31" i="3"/>
  <c r="S31" i="3"/>
  <c r="T31" i="3" s="1"/>
  <c r="G31" i="3" s="1"/>
  <c r="B32" i="4"/>
  <c r="Q33" i="4" s="1"/>
  <c r="A33" i="3"/>
  <c r="R34" i="3" s="1"/>
  <c r="M33" i="3"/>
  <c r="I34" i="4" s="1"/>
  <c r="A33" i="4"/>
  <c r="F31" i="3"/>
  <c r="T28" i="3"/>
  <c r="G29" i="3" s="1"/>
  <c r="G30" i="3" l="1"/>
  <c r="H30" i="3" s="1"/>
  <c r="E31" i="4" s="1"/>
  <c r="O34" i="3"/>
  <c r="K35" i="4" s="1"/>
  <c r="N34" i="3"/>
  <c r="J35" i="4" s="1"/>
  <c r="L34" i="3"/>
  <c r="O35" i="4" s="1"/>
  <c r="J34" i="3"/>
  <c r="M35" i="4" s="1"/>
  <c r="K34" i="3"/>
  <c r="N35" i="4" s="1"/>
  <c r="I34" i="3"/>
  <c r="L35" i="4" s="1"/>
  <c r="S32" i="3"/>
  <c r="T32" i="3" s="1"/>
  <c r="U32" i="3"/>
  <c r="V32" i="3" s="1"/>
  <c r="W32" i="3" s="1"/>
  <c r="B33" i="4"/>
  <c r="Q34" i="4" s="1"/>
  <c r="F32" i="4"/>
  <c r="E31" i="3"/>
  <c r="A34" i="3"/>
  <c r="R35" i="3" s="1"/>
  <c r="A34" i="4"/>
  <c r="Q34" i="3"/>
  <c r="P35" i="4" s="1"/>
  <c r="M34" i="3"/>
  <c r="I35" i="4" s="1"/>
  <c r="F32" i="3"/>
  <c r="F33" i="4" s="1"/>
  <c r="G30" i="4"/>
  <c r="H29" i="3"/>
  <c r="H31" i="3"/>
  <c r="E32" i="4" s="1"/>
  <c r="G32" i="4"/>
  <c r="G31" i="4" l="1"/>
  <c r="O35" i="3"/>
  <c r="K36" i="4" s="1"/>
  <c r="N35" i="3"/>
  <c r="J36" i="4" s="1"/>
  <c r="L35" i="3"/>
  <c r="O36" i="4" s="1"/>
  <c r="J35" i="3"/>
  <c r="M36" i="4" s="1"/>
  <c r="K35" i="3"/>
  <c r="N36" i="4" s="1"/>
  <c r="I35" i="3"/>
  <c r="L36" i="4" s="1"/>
  <c r="U33" i="3"/>
  <c r="V33" i="3" s="1"/>
  <c r="W33" i="3" s="1"/>
  <c r="S33" i="3"/>
  <c r="T33" i="3" s="1"/>
  <c r="B34" i="4"/>
  <c r="Q35" i="4" s="1"/>
  <c r="A35" i="3"/>
  <c r="R36" i="3" s="1"/>
  <c r="Q35" i="3"/>
  <c r="P36" i="4" s="1"/>
  <c r="A35" i="4"/>
  <c r="F33" i="3"/>
  <c r="D32" i="4"/>
  <c r="E32" i="3"/>
  <c r="G32" i="3"/>
  <c r="E30" i="4"/>
  <c r="O36" i="3" l="1"/>
  <c r="K37" i="4" s="1"/>
  <c r="N36" i="3"/>
  <c r="J37" i="4" s="1"/>
  <c r="L36" i="3"/>
  <c r="O37" i="4" s="1"/>
  <c r="J36" i="3"/>
  <c r="M37" i="4" s="1"/>
  <c r="K36" i="3"/>
  <c r="N37" i="4" s="1"/>
  <c r="I36" i="3"/>
  <c r="L37" i="4" s="1"/>
  <c r="G33" i="4"/>
  <c r="E33" i="3"/>
  <c r="D33" i="4"/>
  <c r="S34" i="3"/>
  <c r="T34" i="3" s="1"/>
  <c r="U34" i="3"/>
  <c r="V34" i="3" s="1"/>
  <c r="W34" i="3" s="1"/>
  <c r="B35" i="4"/>
  <c r="Q36" i="4" s="1"/>
  <c r="F34" i="4"/>
  <c r="A36" i="3"/>
  <c r="R37" i="3" s="1"/>
  <c r="M36" i="3"/>
  <c r="I37" i="4" s="1"/>
  <c r="Q36" i="3"/>
  <c r="P37" i="4" s="1"/>
  <c r="A36" i="4"/>
  <c r="F34" i="3"/>
  <c r="F35" i="4" s="1"/>
  <c r="G33" i="3"/>
  <c r="G34" i="4" s="1"/>
  <c r="H32" i="3"/>
  <c r="E33" i="4" s="1"/>
  <c r="O37" i="3" l="1"/>
  <c r="K38" i="4" s="1"/>
  <c r="N37" i="3"/>
  <c r="J38" i="4" s="1"/>
  <c r="L37" i="3"/>
  <c r="O38" i="4" s="1"/>
  <c r="J37" i="3"/>
  <c r="M38" i="4" s="1"/>
  <c r="K37" i="3"/>
  <c r="N38" i="4" s="1"/>
  <c r="I37" i="3"/>
  <c r="L38" i="4" s="1"/>
  <c r="G34" i="3"/>
  <c r="G35" i="4" s="1"/>
  <c r="S35" i="3"/>
  <c r="T35" i="3" s="1"/>
  <c r="B36" i="4"/>
  <c r="Q37" i="4" s="1"/>
  <c r="U35" i="3"/>
  <c r="V35" i="3" s="1"/>
  <c r="W35" i="3" s="1"/>
  <c r="A37" i="3"/>
  <c r="R38" i="3" s="1"/>
  <c r="M37" i="3"/>
  <c r="I38" i="4" s="1"/>
  <c r="A37" i="4"/>
  <c r="F35" i="3"/>
  <c r="F36" i="4" s="1"/>
  <c r="H33" i="3"/>
  <c r="E34" i="4" s="1"/>
  <c r="E34" i="3"/>
  <c r="D34" i="4"/>
  <c r="O38" i="3" l="1"/>
  <c r="K39" i="4" s="1"/>
  <c r="N38" i="3"/>
  <c r="J39" i="4" s="1"/>
  <c r="L38" i="3"/>
  <c r="O39" i="4" s="1"/>
  <c r="J38" i="3"/>
  <c r="M39" i="4" s="1"/>
  <c r="K38" i="3"/>
  <c r="N39" i="4" s="1"/>
  <c r="I38" i="3"/>
  <c r="L39" i="4" s="1"/>
  <c r="H34" i="3"/>
  <c r="U36" i="3"/>
  <c r="V36" i="3" s="1"/>
  <c r="W36" i="3" s="1"/>
  <c r="S36" i="3"/>
  <c r="T36" i="3" s="1"/>
  <c r="B37" i="4"/>
  <c r="Q38" i="4" s="1"/>
  <c r="A38" i="3"/>
  <c r="R39" i="3" s="1"/>
  <c r="M38" i="3"/>
  <c r="I39" i="4" s="1"/>
  <c r="Q38" i="3"/>
  <c r="P39" i="4" s="1"/>
  <c r="A38" i="4"/>
  <c r="F36" i="3"/>
  <c r="F37" i="4" s="1"/>
  <c r="E35" i="3"/>
  <c r="D35" i="4"/>
  <c r="G35" i="3"/>
  <c r="O39" i="3" l="1"/>
  <c r="K40" i="4" s="1"/>
  <c r="N39" i="3"/>
  <c r="J40" i="4" s="1"/>
  <c r="L39" i="3"/>
  <c r="O40" i="4" s="1"/>
  <c r="J39" i="3"/>
  <c r="M40" i="4" s="1"/>
  <c r="K39" i="3"/>
  <c r="N40" i="4" s="1"/>
  <c r="I39" i="3"/>
  <c r="L40" i="4" s="1"/>
  <c r="E35" i="4"/>
  <c r="H35" i="3"/>
  <c r="E36" i="4" s="1"/>
  <c r="G36" i="4"/>
  <c r="D36" i="4"/>
  <c r="E36" i="3"/>
  <c r="S37" i="3"/>
  <c r="T37" i="3" s="1"/>
  <c r="B38" i="4"/>
  <c r="Q39" i="4" s="1"/>
  <c r="U37" i="3"/>
  <c r="V37" i="3" s="1"/>
  <c r="W37" i="3" s="1"/>
  <c r="A39" i="3"/>
  <c r="R40" i="3" s="1"/>
  <c r="M39" i="3"/>
  <c r="I40" i="4" s="1"/>
  <c r="A39" i="4"/>
  <c r="Q39" i="3"/>
  <c r="P40" i="4" s="1"/>
  <c r="F37" i="3"/>
  <c r="F38" i="4" s="1"/>
  <c r="G36" i="3"/>
  <c r="O40" i="3" l="1"/>
  <c r="K41" i="4" s="1"/>
  <c r="N40" i="3"/>
  <c r="J41" i="4" s="1"/>
  <c r="L40" i="3"/>
  <c r="O41" i="4" s="1"/>
  <c r="J40" i="3"/>
  <c r="M41" i="4" s="1"/>
  <c r="K40" i="3"/>
  <c r="N41" i="4" s="1"/>
  <c r="I40" i="3"/>
  <c r="L41" i="4" s="1"/>
  <c r="Q37" i="3"/>
  <c r="P38" i="4" s="1"/>
  <c r="G37" i="3"/>
  <c r="G37" i="4"/>
  <c r="H36" i="3"/>
  <c r="E37" i="4" s="1"/>
  <c r="S38" i="3"/>
  <c r="T38" i="3" s="1"/>
  <c r="U38" i="3"/>
  <c r="V38" i="3" s="1"/>
  <c r="W38" i="3" s="1"/>
  <c r="B39" i="4"/>
  <c r="Q40" i="4" s="1"/>
  <c r="A40" i="3"/>
  <c r="M40" i="3"/>
  <c r="I41" i="4" s="1"/>
  <c r="Q40" i="3"/>
  <c r="P41" i="4" s="1"/>
  <c r="A40" i="4"/>
  <c r="F38" i="3"/>
  <c r="F39" i="4" s="1"/>
  <c r="D37" i="4"/>
  <c r="E37" i="3"/>
  <c r="O41" i="3" l="1"/>
  <c r="K42" i="4" s="1"/>
  <c r="N41" i="3"/>
  <c r="J42" i="4" s="1"/>
  <c r="L41" i="3"/>
  <c r="O42" i="4" s="1"/>
  <c r="J41" i="3"/>
  <c r="M42" i="4" s="1"/>
  <c r="K41" i="3"/>
  <c r="N42" i="4" s="1"/>
  <c r="I41" i="3"/>
  <c r="L42" i="4" s="1"/>
  <c r="H37" i="3"/>
  <c r="E38" i="4" s="1"/>
  <c r="G38" i="4"/>
  <c r="D38" i="4"/>
  <c r="E38" i="3"/>
  <c r="S39" i="3"/>
  <c r="T39" i="3" s="1"/>
  <c r="B40" i="4"/>
  <c r="Q41" i="4" s="1"/>
  <c r="U39" i="3"/>
  <c r="V39" i="3" s="1"/>
  <c r="W39" i="3" s="1"/>
  <c r="A41" i="3"/>
  <c r="R42" i="3" s="1"/>
  <c r="A41" i="4"/>
  <c r="M41" i="3"/>
  <c r="I42" i="4" s="1"/>
  <c r="F39" i="3"/>
  <c r="F40" i="4" s="1"/>
  <c r="G38" i="3"/>
  <c r="H38" i="3" s="1"/>
  <c r="O42" i="3" l="1"/>
  <c r="K43" i="4" s="1"/>
  <c r="N42" i="3"/>
  <c r="J43" i="4" s="1"/>
  <c r="L42" i="3"/>
  <c r="O43" i="4" s="1"/>
  <c r="J42" i="3"/>
  <c r="M43" i="4" s="1"/>
  <c r="K42" i="3"/>
  <c r="N43" i="4" s="1"/>
  <c r="I42" i="3"/>
  <c r="L43" i="4" s="1"/>
  <c r="G39" i="3"/>
  <c r="G40" i="4" s="1"/>
  <c r="D41" i="3"/>
  <c r="C42" i="4" s="1"/>
  <c r="G39" i="4"/>
  <c r="E39" i="4"/>
  <c r="S40" i="3"/>
  <c r="T40" i="3" s="1"/>
  <c r="U40" i="3"/>
  <c r="V40" i="3" s="1"/>
  <c r="W40" i="3" s="1"/>
  <c r="B41" i="4"/>
  <c r="A42" i="3"/>
  <c r="R43" i="3" s="1"/>
  <c r="M42" i="3"/>
  <c r="I43" i="4" s="1"/>
  <c r="A42" i="4"/>
  <c r="Q42" i="3"/>
  <c r="P43" i="4" s="1"/>
  <c r="F40" i="3"/>
  <c r="F41" i="4" s="1"/>
  <c r="D39" i="4"/>
  <c r="E39" i="3"/>
  <c r="O43" i="3" l="1"/>
  <c r="K44" i="4" s="1"/>
  <c r="N43" i="3"/>
  <c r="J44" i="4" s="1"/>
  <c r="L43" i="3"/>
  <c r="O44" i="4" s="1"/>
  <c r="J43" i="3"/>
  <c r="M44" i="4" s="1"/>
  <c r="K43" i="3"/>
  <c r="N44" i="4" s="1"/>
  <c r="I43" i="3"/>
  <c r="L44" i="4" s="1"/>
  <c r="H39" i="3"/>
  <c r="E40" i="4" s="1"/>
  <c r="D42" i="3"/>
  <c r="E40" i="3"/>
  <c r="D40" i="4"/>
  <c r="S41" i="3"/>
  <c r="T41" i="3" s="1"/>
  <c r="U41" i="3"/>
  <c r="V41" i="3" s="1"/>
  <c r="W41" i="3" s="1"/>
  <c r="B42" i="4"/>
  <c r="Q43" i="4" s="1"/>
  <c r="A43" i="3"/>
  <c r="R44" i="3" s="1"/>
  <c r="A43" i="4"/>
  <c r="M43" i="3"/>
  <c r="I44" i="4" s="1"/>
  <c r="Q43" i="3"/>
  <c r="P44" i="4" s="1"/>
  <c r="F41" i="3"/>
  <c r="F42" i="4" s="1"/>
  <c r="G40" i="3"/>
  <c r="O44" i="3" l="1"/>
  <c r="K45" i="4" s="1"/>
  <c r="N44" i="3"/>
  <c r="J45" i="4" s="1"/>
  <c r="L44" i="3"/>
  <c r="O45" i="4" s="1"/>
  <c r="J44" i="3"/>
  <c r="M45" i="4" s="1"/>
  <c r="K44" i="3"/>
  <c r="N45" i="4" s="1"/>
  <c r="I44" i="3"/>
  <c r="L45" i="4" s="1"/>
  <c r="D43" i="3"/>
  <c r="C44" i="4" s="1"/>
  <c r="G41" i="3"/>
  <c r="R41" i="3" s="1"/>
  <c r="C43" i="4"/>
  <c r="U42" i="3"/>
  <c r="V42" i="3" s="1"/>
  <c r="W42" i="3" s="1"/>
  <c r="S42" i="3"/>
  <c r="T42" i="3" s="1"/>
  <c r="B43" i="4"/>
  <c r="Q44" i="4" s="1"/>
  <c r="A44" i="3"/>
  <c r="R45" i="3" s="1"/>
  <c r="Q44" i="3"/>
  <c r="P45" i="4" s="1"/>
  <c r="M44" i="3"/>
  <c r="I45" i="4" s="1"/>
  <c r="A44" i="4"/>
  <c r="F42" i="3"/>
  <c r="F43" i="4" s="1"/>
  <c r="H40" i="3"/>
  <c r="G41" i="4"/>
  <c r="E41" i="3"/>
  <c r="D41" i="4"/>
  <c r="O45" i="3" l="1"/>
  <c r="K46" i="4" s="1"/>
  <c r="N45" i="3"/>
  <c r="J46" i="4" s="1"/>
  <c r="L45" i="3"/>
  <c r="O46" i="4" s="1"/>
  <c r="J45" i="3"/>
  <c r="M46" i="4" s="1"/>
  <c r="K45" i="3"/>
  <c r="N46" i="4" s="1"/>
  <c r="I45" i="3"/>
  <c r="L46" i="4" s="1"/>
  <c r="D44" i="3"/>
  <c r="G42" i="4"/>
  <c r="E41" i="4"/>
  <c r="Q41" i="3"/>
  <c r="P42" i="4" s="1"/>
  <c r="H41" i="3"/>
  <c r="A45" i="3"/>
  <c r="R46" i="3" s="1"/>
  <c r="A45" i="4"/>
  <c r="Q45" i="3"/>
  <c r="P46" i="4" s="1"/>
  <c r="M45" i="3"/>
  <c r="I46" i="4" s="1"/>
  <c r="F43" i="3"/>
  <c r="F44" i="4" s="1"/>
  <c r="G42" i="3"/>
  <c r="D42" i="4"/>
  <c r="E42" i="3"/>
  <c r="B44" i="4"/>
  <c r="Q45" i="4" s="1"/>
  <c r="S43" i="3"/>
  <c r="T43" i="3" s="1"/>
  <c r="U43" i="3"/>
  <c r="V43" i="3" s="1"/>
  <c r="W43" i="3" s="1"/>
  <c r="O46" i="3" l="1"/>
  <c r="K47" i="4" s="1"/>
  <c r="N46" i="3"/>
  <c r="J47" i="4" s="1"/>
  <c r="L46" i="3"/>
  <c r="O47" i="4" s="1"/>
  <c r="J46" i="3"/>
  <c r="M47" i="4" s="1"/>
  <c r="K46" i="3"/>
  <c r="N47" i="4" s="1"/>
  <c r="I46" i="3"/>
  <c r="L47" i="4" s="1"/>
  <c r="G43" i="3"/>
  <c r="G44" i="4" s="1"/>
  <c r="D45" i="3"/>
  <c r="C46" i="4" s="1"/>
  <c r="E42" i="4"/>
  <c r="Q42" i="4" s="1"/>
  <c r="D43" i="4"/>
  <c r="E43" i="3"/>
  <c r="G43" i="4"/>
  <c r="H42" i="3"/>
  <c r="E43" i="4" s="1"/>
  <c r="C45" i="4"/>
  <c r="S44" i="3"/>
  <c r="T44" i="3" s="1"/>
  <c r="G44" i="3" s="1"/>
  <c r="G45" i="4" s="1"/>
  <c r="B45" i="4"/>
  <c r="Q46" i="4" s="1"/>
  <c r="U44" i="3"/>
  <c r="V44" i="3" s="1"/>
  <c r="W44" i="3" s="1"/>
  <c r="A46" i="3"/>
  <c r="R47" i="3" s="1"/>
  <c r="A46" i="4"/>
  <c r="Q46" i="3"/>
  <c r="P47" i="4" s="1"/>
  <c r="M46" i="3"/>
  <c r="I47" i="4" s="1"/>
  <c r="F44" i="3"/>
  <c r="F45" i="4" s="1"/>
  <c r="O47" i="3" l="1"/>
  <c r="K48" i="4" s="1"/>
  <c r="N47" i="3"/>
  <c r="J48" i="4" s="1"/>
  <c r="L47" i="3"/>
  <c r="O48" i="4" s="1"/>
  <c r="J47" i="3"/>
  <c r="M48" i="4" s="1"/>
  <c r="K47" i="3"/>
  <c r="N48" i="4" s="1"/>
  <c r="I47" i="3"/>
  <c r="L48" i="4" s="1"/>
  <c r="H43" i="3"/>
  <c r="E44" i="4" s="1"/>
  <c r="D46" i="3"/>
  <c r="H44" i="3"/>
  <c r="E45" i="4" s="1"/>
  <c r="S45" i="3"/>
  <c r="T45" i="3" s="1"/>
  <c r="B46" i="4"/>
  <c r="Q47" i="4" s="1"/>
  <c r="U45" i="3"/>
  <c r="V45" i="3" s="1"/>
  <c r="W45" i="3" s="1"/>
  <c r="A47" i="3"/>
  <c r="R48" i="3" s="1"/>
  <c r="A47" i="4"/>
  <c r="Q47" i="3"/>
  <c r="P48" i="4" s="1"/>
  <c r="M47" i="3"/>
  <c r="I48" i="4" s="1"/>
  <c r="F45" i="3"/>
  <c r="F46" i="4" s="1"/>
  <c r="E44" i="3"/>
  <c r="D44" i="4"/>
  <c r="O48" i="3" l="1"/>
  <c r="K49" i="4" s="1"/>
  <c r="N48" i="3"/>
  <c r="J49" i="4" s="1"/>
  <c r="L48" i="3"/>
  <c r="O49" i="4" s="1"/>
  <c r="J48" i="3"/>
  <c r="M49" i="4" s="1"/>
  <c r="K48" i="3"/>
  <c r="N49" i="4" s="1"/>
  <c r="I48" i="3"/>
  <c r="L49" i="4" s="1"/>
  <c r="D47" i="3"/>
  <c r="C48" i="4" s="1"/>
  <c r="U46" i="3"/>
  <c r="V46" i="3" s="1"/>
  <c r="W46" i="3" s="1"/>
  <c r="S46" i="3"/>
  <c r="T46" i="3" s="1"/>
  <c r="B47" i="4"/>
  <c r="Q48" i="4" s="1"/>
  <c r="A48" i="3"/>
  <c r="R49" i="3" s="1"/>
  <c r="A48" i="4"/>
  <c r="M48" i="3"/>
  <c r="I49" i="4" s="1"/>
  <c r="Q48" i="3"/>
  <c r="P49" i="4" s="1"/>
  <c r="F46" i="3"/>
  <c r="F47" i="4" s="1"/>
  <c r="E45" i="3"/>
  <c r="D45" i="4"/>
  <c r="C47" i="4"/>
  <c r="G45" i="3"/>
  <c r="O49" i="3" l="1"/>
  <c r="K50" i="4" s="1"/>
  <c r="N49" i="3"/>
  <c r="J50" i="4" s="1"/>
  <c r="L49" i="3"/>
  <c r="O50" i="4" s="1"/>
  <c r="J49" i="3"/>
  <c r="M50" i="4" s="1"/>
  <c r="K49" i="3"/>
  <c r="N50" i="4" s="1"/>
  <c r="I49" i="3"/>
  <c r="L50" i="4" s="1"/>
  <c r="D48" i="3"/>
  <c r="A49" i="3"/>
  <c r="R50" i="3" s="1"/>
  <c r="M49" i="3"/>
  <c r="I50" i="4" s="1"/>
  <c r="A49" i="4"/>
  <c r="F47" i="3"/>
  <c r="F48" i="4" s="1"/>
  <c r="G46" i="3"/>
  <c r="G46" i="4"/>
  <c r="H45" i="3"/>
  <c r="E46" i="4" s="1"/>
  <c r="E46" i="3"/>
  <c r="D46" i="4"/>
  <c r="B48" i="4"/>
  <c r="Q49" i="4" s="1"/>
  <c r="S47" i="3"/>
  <c r="T47" i="3" s="1"/>
  <c r="U47" i="3"/>
  <c r="V47" i="3" s="1"/>
  <c r="W47" i="3" s="1"/>
  <c r="O50" i="3" l="1"/>
  <c r="K51" i="4" s="1"/>
  <c r="N50" i="3"/>
  <c r="J51" i="4" s="1"/>
  <c r="L50" i="3"/>
  <c r="O51" i="4" s="1"/>
  <c r="J50" i="3"/>
  <c r="M51" i="4" s="1"/>
  <c r="K50" i="3"/>
  <c r="N51" i="4" s="1"/>
  <c r="I50" i="3"/>
  <c r="L51" i="4" s="1"/>
  <c r="G47" i="3"/>
  <c r="G48" i="4" s="1"/>
  <c r="D49" i="3"/>
  <c r="C50" i="4" s="1"/>
  <c r="H46" i="3"/>
  <c r="G47" i="4"/>
  <c r="C49" i="4"/>
  <c r="D47" i="4"/>
  <c r="E47" i="3"/>
  <c r="B49" i="4"/>
  <c r="Q50" i="4" s="1"/>
  <c r="U48" i="3"/>
  <c r="V48" i="3" s="1"/>
  <c r="W48" i="3" s="1"/>
  <c r="S48" i="3"/>
  <c r="T48" i="3" s="1"/>
  <c r="A50" i="3"/>
  <c r="R51" i="3" s="1"/>
  <c r="M50" i="3"/>
  <c r="I51" i="4" s="1"/>
  <c r="A50" i="4"/>
  <c r="Q50" i="3"/>
  <c r="P51" i="4" s="1"/>
  <c r="F48" i="3"/>
  <c r="F49" i="4" s="1"/>
  <c r="O51" i="3" l="1"/>
  <c r="K52" i="4" s="1"/>
  <c r="N51" i="3"/>
  <c r="J52" i="4" s="1"/>
  <c r="L51" i="3"/>
  <c r="O52" i="4" s="1"/>
  <c r="J51" i="3"/>
  <c r="M52" i="4" s="1"/>
  <c r="K51" i="3"/>
  <c r="N52" i="4" s="1"/>
  <c r="I51" i="3"/>
  <c r="L52" i="4" s="1"/>
  <c r="H47" i="3"/>
  <c r="E48" i="4" s="1"/>
  <c r="E47" i="4"/>
  <c r="G48" i="3"/>
  <c r="G49" i="4" s="1"/>
  <c r="D50" i="3"/>
  <c r="S49" i="3"/>
  <c r="T49" i="3" s="1"/>
  <c r="B50" i="4"/>
  <c r="Q51" i="4" s="1"/>
  <c r="U49" i="3"/>
  <c r="V49" i="3" s="1"/>
  <c r="W49" i="3" s="1"/>
  <c r="A51" i="3"/>
  <c r="R52" i="3" s="1"/>
  <c r="M51" i="3"/>
  <c r="I52" i="4" s="1"/>
  <c r="A51" i="4"/>
  <c r="Q51" i="3"/>
  <c r="P52" i="4" s="1"/>
  <c r="F49" i="3"/>
  <c r="F50" i="4" s="1"/>
  <c r="E48" i="3"/>
  <c r="D48" i="4"/>
  <c r="O52" i="3" l="1"/>
  <c r="K53" i="4" s="1"/>
  <c r="N52" i="3"/>
  <c r="J53" i="4" s="1"/>
  <c r="L52" i="3"/>
  <c r="O53" i="4" s="1"/>
  <c r="J52" i="3"/>
  <c r="M53" i="4" s="1"/>
  <c r="K52" i="3"/>
  <c r="N53" i="4" s="1"/>
  <c r="I52" i="3"/>
  <c r="L53" i="4" s="1"/>
  <c r="H48" i="3"/>
  <c r="D51" i="3"/>
  <c r="U50" i="3"/>
  <c r="V50" i="3" s="1"/>
  <c r="W50" i="3" s="1"/>
  <c r="S50" i="3"/>
  <c r="T50" i="3" s="1"/>
  <c r="B51" i="4"/>
  <c r="Q52" i="4" s="1"/>
  <c r="A52" i="3"/>
  <c r="R53" i="3" s="1"/>
  <c r="M52" i="3"/>
  <c r="I53" i="4" s="1"/>
  <c r="Q52" i="3"/>
  <c r="P53" i="4" s="1"/>
  <c r="A52" i="4"/>
  <c r="F50" i="3"/>
  <c r="F51" i="4" s="1"/>
  <c r="E49" i="3"/>
  <c r="D49" i="4"/>
  <c r="C51" i="4"/>
  <c r="G49" i="3"/>
  <c r="D52" i="3" l="1"/>
  <c r="O53" i="3"/>
  <c r="K54" i="4" s="1"/>
  <c r="N53" i="3"/>
  <c r="J54" i="4" s="1"/>
  <c r="L53" i="3"/>
  <c r="O54" i="4" s="1"/>
  <c r="J53" i="3"/>
  <c r="M54" i="4" s="1"/>
  <c r="K53" i="3"/>
  <c r="N54" i="4" s="1"/>
  <c r="I53" i="3"/>
  <c r="L54" i="4" s="1"/>
  <c r="E49" i="4"/>
  <c r="Q49" i="3"/>
  <c r="P50" i="4" s="1"/>
  <c r="A53" i="3"/>
  <c r="R54" i="3" s="1"/>
  <c r="A53" i="4"/>
  <c r="M53" i="3"/>
  <c r="I54" i="4" s="1"/>
  <c r="F51" i="3"/>
  <c r="F52" i="4" s="1"/>
  <c r="G50" i="3"/>
  <c r="H49" i="3"/>
  <c r="E50" i="4" s="1"/>
  <c r="G50" i="4"/>
  <c r="D50" i="4"/>
  <c r="E50" i="3"/>
  <c r="S51" i="3"/>
  <c r="T51" i="3" s="1"/>
  <c r="B52" i="4"/>
  <c r="Q53" i="4" s="1"/>
  <c r="U51" i="3"/>
  <c r="V51" i="3" s="1"/>
  <c r="W51" i="3" s="1"/>
  <c r="C52" i="4"/>
  <c r="O54" i="3" l="1"/>
  <c r="K55" i="4" s="1"/>
  <c r="N54" i="3"/>
  <c r="J55" i="4" s="1"/>
  <c r="L54" i="3"/>
  <c r="O55" i="4" s="1"/>
  <c r="J54" i="3"/>
  <c r="M55" i="4" s="1"/>
  <c r="K54" i="3"/>
  <c r="N55" i="4" s="1"/>
  <c r="I54" i="3"/>
  <c r="L55" i="4" s="1"/>
  <c r="D53" i="3"/>
  <c r="D51" i="4"/>
  <c r="E51" i="3"/>
  <c r="H50" i="3"/>
  <c r="E51" i="4" s="1"/>
  <c r="G51" i="4"/>
  <c r="S52" i="3"/>
  <c r="T52" i="3" s="1"/>
  <c r="U52" i="3"/>
  <c r="V52" i="3" s="1"/>
  <c r="W52" i="3" s="1"/>
  <c r="B53" i="4"/>
  <c r="Q54" i="4" s="1"/>
  <c r="A54" i="3"/>
  <c r="R55" i="3" s="1"/>
  <c r="A54" i="4"/>
  <c r="M54" i="3"/>
  <c r="I55" i="4" s="1"/>
  <c r="F52" i="3"/>
  <c r="F53" i="4" s="1"/>
  <c r="G51" i="3"/>
  <c r="C53" i="4"/>
  <c r="O55" i="3" l="1"/>
  <c r="K56" i="4" s="1"/>
  <c r="N55" i="3"/>
  <c r="J56" i="4" s="1"/>
  <c r="K55" i="3"/>
  <c r="N56" i="4" s="1"/>
  <c r="I55" i="3"/>
  <c r="L56" i="4" s="1"/>
  <c r="L55" i="3"/>
  <c r="O56" i="4" s="1"/>
  <c r="J55" i="3"/>
  <c r="M56" i="4" s="1"/>
  <c r="G52" i="3"/>
  <c r="G53" i="4" s="1"/>
  <c r="D54" i="3"/>
  <c r="G52" i="4"/>
  <c r="H51" i="3"/>
  <c r="U53" i="3"/>
  <c r="V53" i="3" s="1"/>
  <c r="W53" i="3" s="1"/>
  <c r="S53" i="3"/>
  <c r="T53" i="3" s="1"/>
  <c r="B54" i="4"/>
  <c r="Q55" i="4" s="1"/>
  <c r="C54" i="4"/>
  <c r="A55" i="3"/>
  <c r="R56" i="3" s="1"/>
  <c r="A55" i="4"/>
  <c r="Q55" i="3"/>
  <c r="P56" i="4" s="1"/>
  <c r="M55" i="3"/>
  <c r="I56" i="4" s="1"/>
  <c r="F53" i="3"/>
  <c r="F54" i="4" s="1"/>
  <c r="E52" i="3"/>
  <c r="D52" i="4"/>
  <c r="O56" i="3" l="1"/>
  <c r="K57" i="4" s="1"/>
  <c r="K56" i="3"/>
  <c r="N57" i="4" s="1"/>
  <c r="I56" i="3"/>
  <c r="L57" i="4" s="1"/>
  <c r="N56" i="3"/>
  <c r="J57" i="4" s="1"/>
  <c r="L56" i="3"/>
  <c r="O57" i="4" s="1"/>
  <c r="J56" i="3"/>
  <c r="M57" i="4" s="1"/>
  <c r="H52" i="3"/>
  <c r="E53" i="4" s="1"/>
  <c r="E52" i="4"/>
  <c r="D55" i="3"/>
  <c r="Q53" i="3"/>
  <c r="P54" i="4" s="1"/>
  <c r="D53" i="4"/>
  <c r="E53" i="3"/>
  <c r="C55" i="4"/>
  <c r="S54" i="3"/>
  <c r="T54" i="3" s="1"/>
  <c r="B55" i="4"/>
  <c r="Q56" i="4" s="1"/>
  <c r="U54" i="3"/>
  <c r="V54" i="3" s="1"/>
  <c r="W54" i="3" s="1"/>
  <c r="A56" i="3"/>
  <c r="R57" i="3" s="1"/>
  <c r="M56" i="3"/>
  <c r="I57" i="4" s="1"/>
  <c r="Q56" i="3"/>
  <c r="P57" i="4" s="1"/>
  <c r="A56" i="4"/>
  <c r="F54" i="3"/>
  <c r="F55" i="4" s="1"/>
  <c r="G53" i="3"/>
  <c r="O57" i="3" l="1"/>
  <c r="K58" i="4" s="1"/>
  <c r="N57" i="3"/>
  <c r="J58" i="4" s="1"/>
  <c r="K57" i="3"/>
  <c r="N58" i="4" s="1"/>
  <c r="I57" i="3"/>
  <c r="L58" i="4" s="1"/>
  <c r="L57" i="3"/>
  <c r="O58" i="4" s="1"/>
  <c r="J57" i="3"/>
  <c r="M58" i="4" s="1"/>
  <c r="G54" i="3"/>
  <c r="D56" i="3"/>
  <c r="S55" i="3"/>
  <c r="T55" i="3" s="1"/>
  <c r="U55" i="3"/>
  <c r="V55" i="3" s="1"/>
  <c r="W55" i="3" s="1"/>
  <c r="B56" i="4"/>
  <c r="Q57" i="4" s="1"/>
  <c r="A57" i="3"/>
  <c r="R58" i="3" s="1"/>
  <c r="Q57" i="3"/>
  <c r="P58" i="4" s="1"/>
  <c r="M57" i="3"/>
  <c r="I58" i="4" s="1"/>
  <c r="A57" i="4"/>
  <c r="F55" i="3"/>
  <c r="F56" i="4" s="1"/>
  <c r="G54" i="4"/>
  <c r="H53" i="3"/>
  <c r="C56" i="4"/>
  <c r="D54" i="4"/>
  <c r="E54" i="3"/>
  <c r="O58" i="3" l="1"/>
  <c r="K59" i="4" s="1"/>
  <c r="K58" i="3"/>
  <c r="N59" i="4" s="1"/>
  <c r="I58" i="3"/>
  <c r="L59" i="4" s="1"/>
  <c r="N58" i="3"/>
  <c r="J59" i="4" s="1"/>
  <c r="L58" i="3"/>
  <c r="O59" i="4" s="1"/>
  <c r="J58" i="3"/>
  <c r="M59" i="4" s="1"/>
  <c r="E54" i="4"/>
  <c r="Q54" i="3"/>
  <c r="P55" i="4" s="1"/>
  <c r="H54" i="3"/>
  <c r="E55" i="4" s="1"/>
  <c r="G55" i="4"/>
  <c r="D57" i="3"/>
  <c r="C58" i="4" s="1"/>
  <c r="E55" i="3"/>
  <c r="D55" i="4"/>
  <c r="U56" i="3"/>
  <c r="V56" i="3" s="1"/>
  <c r="W56" i="3" s="1"/>
  <c r="S56" i="3"/>
  <c r="T56" i="3" s="1"/>
  <c r="B57" i="4"/>
  <c r="Q58" i="4" s="1"/>
  <c r="G55" i="3"/>
  <c r="C57" i="4"/>
  <c r="A58" i="3"/>
  <c r="R59" i="3" s="1"/>
  <c r="Q58" i="3"/>
  <c r="P59" i="4" s="1"/>
  <c r="M58" i="3"/>
  <c r="I59" i="4" s="1"/>
  <c r="A58" i="4"/>
  <c r="F56" i="3"/>
  <c r="F57" i="4" s="1"/>
  <c r="O59" i="3" l="1"/>
  <c r="K60" i="4" s="1"/>
  <c r="N59" i="3"/>
  <c r="J60" i="4" s="1"/>
  <c r="K59" i="3"/>
  <c r="N60" i="4" s="1"/>
  <c r="I59" i="3"/>
  <c r="L60" i="4" s="1"/>
  <c r="L59" i="3"/>
  <c r="O60" i="4" s="1"/>
  <c r="J59" i="3"/>
  <c r="M60" i="4" s="1"/>
  <c r="D58" i="3"/>
  <c r="A59" i="3"/>
  <c r="R60" i="3" s="1"/>
  <c r="M59" i="3"/>
  <c r="I60" i="4" s="1"/>
  <c r="Q59" i="3"/>
  <c r="P60" i="4" s="1"/>
  <c r="A59" i="4"/>
  <c r="F57" i="3"/>
  <c r="F58" i="4" s="1"/>
  <c r="D56" i="4"/>
  <c r="E56" i="3"/>
  <c r="S57" i="3"/>
  <c r="T57" i="3" s="1"/>
  <c r="B58" i="4"/>
  <c r="Q59" i="4" s="1"/>
  <c r="U57" i="3"/>
  <c r="V57" i="3" s="1"/>
  <c r="W57" i="3" s="1"/>
  <c r="G56" i="4"/>
  <c r="H55" i="3"/>
  <c r="E56" i="4" s="1"/>
  <c r="G56" i="3"/>
  <c r="G57" i="4" s="1"/>
  <c r="O60" i="3" l="1"/>
  <c r="K61" i="4" s="1"/>
  <c r="K60" i="3"/>
  <c r="N61" i="4" s="1"/>
  <c r="I60" i="3"/>
  <c r="L61" i="4" s="1"/>
  <c r="N60" i="3"/>
  <c r="J61" i="4" s="1"/>
  <c r="L60" i="3"/>
  <c r="O61" i="4" s="1"/>
  <c r="J60" i="3"/>
  <c r="M61" i="4" s="1"/>
  <c r="D59" i="3"/>
  <c r="G57" i="3"/>
  <c r="G58" i="4" s="1"/>
  <c r="E57" i="3"/>
  <c r="D57" i="4"/>
  <c r="B59" i="4"/>
  <c r="Q60" i="4" s="1"/>
  <c r="S58" i="3"/>
  <c r="T58" i="3" s="1"/>
  <c r="U58" i="3"/>
  <c r="V58" i="3" s="1"/>
  <c r="W58" i="3" s="1"/>
  <c r="A60" i="3"/>
  <c r="R61" i="3" s="1"/>
  <c r="A60" i="4"/>
  <c r="M60" i="3"/>
  <c r="I61" i="4" s="1"/>
  <c r="Q60" i="3"/>
  <c r="P61" i="4" s="1"/>
  <c r="F58" i="3"/>
  <c r="F59" i="4" s="1"/>
  <c r="H56" i="3"/>
  <c r="E57" i="4" s="1"/>
  <c r="C59" i="4"/>
  <c r="O61" i="3" l="1"/>
  <c r="K62" i="4" s="1"/>
  <c r="N61" i="3"/>
  <c r="J62" i="4" s="1"/>
  <c r="K61" i="3"/>
  <c r="N62" i="4" s="1"/>
  <c r="I61" i="3"/>
  <c r="L62" i="4" s="1"/>
  <c r="L61" i="3"/>
  <c r="O62" i="4" s="1"/>
  <c r="J61" i="3"/>
  <c r="M62" i="4" s="1"/>
  <c r="G58" i="3"/>
  <c r="G59" i="4" s="1"/>
  <c r="D60" i="3"/>
  <c r="H57" i="3"/>
  <c r="E58" i="4" s="1"/>
  <c r="C60" i="4"/>
  <c r="A61" i="3"/>
  <c r="R62" i="3" s="1"/>
  <c r="M61" i="3"/>
  <c r="I62" i="4" s="1"/>
  <c r="Q61" i="3"/>
  <c r="P62" i="4" s="1"/>
  <c r="A61" i="4"/>
  <c r="F59" i="3"/>
  <c r="F60" i="4" s="1"/>
  <c r="U59" i="3"/>
  <c r="V59" i="3" s="1"/>
  <c r="W59" i="3" s="1"/>
  <c r="S59" i="3"/>
  <c r="T59" i="3" s="1"/>
  <c r="B60" i="4"/>
  <c r="Q61" i="4" s="1"/>
  <c r="E58" i="3"/>
  <c r="D58" i="4"/>
  <c r="O62" i="3" l="1"/>
  <c r="K63" i="4" s="1"/>
  <c r="K62" i="3"/>
  <c r="N63" i="4" s="1"/>
  <c r="I62" i="3"/>
  <c r="L63" i="4" s="1"/>
  <c r="N62" i="3"/>
  <c r="J63" i="4" s="1"/>
  <c r="L62" i="3"/>
  <c r="O63" i="4" s="1"/>
  <c r="J62" i="3"/>
  <c r="M63" i="4" s="1"/>
  <c r="H58" i="3"/>
  <c r="E59" i="4" s="1"/>
  <c r="G59" i="3"/>
  <c r="G60" i="4" s="1"/>
  <c r="D61" i="3"/>
  <c r="C62" i="4" s="1"/>
  <c r="C61" i="4"/>
  <c r="E59" i="3"/>
  <c r="D59" i="4"/>
  <c r="S60" i="3"/>
  <c r="T60" i="3" s="1"/>
  <c r="B61" i="4"/>
  <c r="Q62" i="4" s="1"/>
  <c r="U60" i="3"/>
  <c r="V60" i="3" s="1"/>
  <c r="W60" i="3" s="1"/>
  <c r="A62" i="3"/>
  <c r="R63" i="3" s="1"/>
  <c r="A62" i="4"/>
  <c r="M62" i="3"/>
  <c r="I63" i="4" s="1"/>
  <c r="Q62" i="3"/>
  <c r="P63" i="4" s="1"/>
  <c r="F60" i="3"/>
  <c r="F61" i="4" s="1"/>
  <c r="O63" i="3" l="1"/>
  <c r="K64" i="4" s="1"/>
  <c r="N63" i="3"/>
  <c r="J64" i="4" s="1"/>
  <c r="K63" i="3"/>
  <c r="N64" i="4" s="1"/>
  <c r="I63" i="3"/>
  <c r="L64" i="4" s="1"/>
  <c r="L63" i="3"/>
  <c r="O64" i="4" s="1"/>
  <c r="J63" i="3"/>
  <c r="M64" i="4" s="1"/>
  <c r="G60" i="3"/>
  <c r="G61" i="4" s="1"/>
  <c r="H59" i="3"/>
  <c r="E60" i="4" s="1"/>
  <c r="D62" i="3"/>
  <c r="E60" i="3"/>
  <c r="D60" i="4"/>
  <c r="S61" i="3"/>
  <c r="T61" i="3" s="1"/>
  <c r="B62" i="4"/>
  <c r="Q63" i="4" s="1"/>
  <c r="U61" i="3"/>
  <c r="V61" i="3" s="1"/>
  <c r="W61" i="3" s="1"/>
  <c r="A63" i="3"/>
  <c r="R64" i="3" s="1"/>
  <c r="A63" i="4"/>
  <c r="M63" i="3"/>
  <c r="I64" i="4" s="1"/>
  <c r="Q63" i="3"/>
  <c r="P64" i="4" s="1"/>
  <c r="F61" i="3"/>
  <c r="F62" i="4" s="1"/>
  <c r="O64" i="3" l="1"/>
  <c r="K65" i="4" s="1"/>
  <c r="K64" i="3"/>
  <c r="N65" i="4" s="1"/>
  <c r="I64" i="3"/>
  <c r="L65" i="4" s="1"/>
  <c r="N64" i="3"/>
  <c r="J65" i="4" s="1"/>
  <c r="L64" i="3"/>
  <c r="O65" i="4" s="1"/>
  <c r="J64" i="3"/>
  <c r="M65" i="4" s="1"/>
  <c r="H60" i="3"/>
  <c r="E61" i="4" s="1"/>
  <c r="D63" i="3"/>
  <c r="G61" i="3"/>
  <c r="G62" i="4" s="1"/>
  <c r="C63" i="4"/>
  <c r="B63" i="4"/>
  <c r="Q64" i="4" s="1"/>
  <c r="S62" i="3"/>
  <c r="T62" i="3" s="1"/>
  <c r="U62" i="3"/>
  <c r="V62" i="3" s="1"/>
  <c r="W62" i="3" s="1"/>
  <c r="A64" i="3"/>
  <c r="R65" i="3" s="1"/>
  <c r="A64" i="4"/>
  <c r="Q64" i="3"/>
  <c r="P65" i="4" s="1"/>
  <c r="M64" i="3"/>
  <c r="I65" i="4" s="1"/>
  <c r="F62" i="3"/>
  <c r="F63" i="4" s="1"/>
  <c r="D61" i="4"/>
  <c r="E61" i="3"/>
  <c r="O65" i="3" l="1"/>
  <c r="K66" i="4" s="1"/>
  <c r="N65" i="3"/>
  <c r="J66" i="4" s="1"/>
  <c r="K65" i="3"/>
  <c r="N66" i="4" s="1"/>
  <c r="I65" i="3"/>
  <c r="L66" i="4" s="1"/>
  <c r="L65" i="3"/>
  <c r="O66" i="4" s="1"/>
  <c r="J65" i="3"/>
  <c r="M66" i="4" s="1"/>
  <c r="D64" i="3"/>
  <c r="C65" i="4" s="1"/>
  <c r="H61" i="3"/>
  <c r="E62" i="4" s="1"/>
  <c r="D62" i="4"/>
  <c r="E62" i="3"/>
  <c r="G62" i="3"/>
  <c r="S63" i="3"/>
  <c r="T63" i="3" s="1"/>
  <c r="B64" i="4"/>
  <c r="Q65" i="4" s="1"/>
  <c r="U63" i="3"/>
  <c r="V63" i="3" s="1"/>
  <c r="W63" i="3" s="1"/>
  <c r="A65" i="3"/>
  <c r="R66" i="3" s="1"/>
  <c r="A65" i="4"/>
  <c r="M65" i="3"/>
  <c r="I66" i="4" s="1"/>
  <c r="F63" i="3"/>
  <c r="F64" i="4" s="1"/>
  <c r="C64" i="4"/>
  <c r="O66" i="3" l="1"/>
  <c r="K67" i="4" s="1"/>
  <c r="K66" i="3"/>
  <c r="N67" i="4" s="1"/>
  <c r="I66" i="3"/>
  <c r="L67" i="4" s="1"/>
  <c r="N66" i="3"/>
  <c r="J67" i="4" s="1"/>
  <c r="L66" i="3"/>
  <c r="O67" i="4" s="1"/>
  <c r="J66" i="3"/>
  <c r="M67" i="4" s="1"/>
  <c r="G63" i="3"/>
  <c r="G64" i="4" s="1"/>
  <c r="D65" i="3"/>
  <c r="S64" i="3"/>
  <c r="T64" i="3" s="1"/>
  <c r="U64" i="3"/>
  <c r="V64" i="3" s="1"/>
  <c r="W64" i="3" s="1"/>
  <c r="B65" i="4"/>
  <c r="Q66" i="4" s="1"/>
  <c r="E63" i="3"/>
  <c r="D63" i="4"/>
  <c r="A66" i="3"/>
  <c r="R67" i="3" s="1"/>
  <c r="A66" i="4"/>
  <c r="Q66" i="3"/>
  <c r="P67" i="4" s="1"/>
  <c r="M66" i="3"/>
  <c r="I67" i="4" s="1"/>
  <c r="F64" i="3"/>
  <c r="F65" i="4" s="1"/>
  <c r="G63" i="4"/>
  <c r="H62" i="3"/>
  <c r="E63" i="4" l="1"/>
  <c r="O67" i="3"/>
  <c r="K68" i="4" s="1"/>
  <c r="N67" i="3"/>
  <c r="J68" i="4" s="1"/>
  <c r="K67" i="3"/>
  <c r="N68" i="4" s="1"/>
  <c r="I67" i="3"/>
  <c r="L68" i="4" s="1"/>
  <c r="L67" i="3"/>
  <c r="O68" i="4" s="1"/>
  <c r="J67" i="3"/>
  <c r="M68" i="4" s="1"/>
  <c r="H63" i="3"/>
  <c r="E64" i="4" s="1"/>
  <c r="D66" i="3"/>
  <c r="G64" i="3"/>
  <c r="H64" i="3" s="1"/>
  <c r="E65" i="4" s="1"/>
  <c r="C66" i="4"/>
  <c r="A67" i="3"/>
  <c r="R68" i="3" s="1"/>
  <c r="A67" i="4"/>
  <c r="Q67" i="3"/>
  <c r="P68" i="4" s="1"/>
  <c r="M67" i="3"/>
  <c r="I68" i="4" s="1"/>
  <c r="F65" i="3"/>
  <c r="F66" i="4" s="1"/>
  <c r="D64" i="4"/>
  <c r="E64" i="3"/>
  <c r="U65" i="3"/>
  <c r="V65" i="3" s="1"/>
  <c r="W65" i="3" s="1"/>
  <c r="B66" i="4"/>
  <c r="Q67" i="4" s="1"/>
  <c r="S65" i="3"/>
  <c r="T65" i="3" s="1"/>
  <c r="O68" i="3" l="1"/>
  <c r="K69" i="4" s="1"/>
  <c r="K68" i="3"/>
  <c r="N69" i="4" s="1"/>
  <c r="I68" i="3"/>
  <c r="L69" i="4" s="1"/>
  <c r="N68" i="3"/>
  <c r="J69" i="4" s="1"/>
  <c r="L68" i="3"/>
  <c r="O69" i="4" s="1"/>
  <c r="J68" i="3"/>
  <c r="M69" i="4" s="1"/>
  <c r="Q65" i="3"/>
  <c r="P66" i="4" s="1"/>
  <c r="D67" i="3"/>
  <c r="C68" i="4" s="1"/>
  <c r="G65" i="4"/>
  <c r="G65" i="3"/>
  <c r="C67" i="4"/>
  <c r="E65" i="3"/>
  <c r="D65" i="4"/>
  <c r="S66" i="3"/>
  <c r="T66" i="3" s="1"/>
  <c r="U66" i="3"/>
  <c r="V66" i="3" s="1"/>
  <c r="W66" i="3" s="1"/>
  <c r="B67" i="4"/>
  <c r="Q68" i="4" s="1"/>
  <c r="A68" i="3"/>
  <c r="R69" i="3" s="1"/>
  <c r="A68" i="4"/>
  <c r="M68" i="3"/>
  <c r="I69" i="4" s="1"/>
  <c r="Q68" i="3"/>
  <c r="P69" i="4" s="1"/>
  <c r="F66" i="3"/>
  <c r="F67" i="4" s="1"/>
  <c r="G66" i="4" l="1"/>
  <c r="O69" i="3"/>
  <c r="K70" i="4" s="1"/>
  <c r="N69" i="3"/>
  <c r="J70" i="4" s="1"/>
  <c r="K69" i="3"/>
  <c r="N70" i="4" s="1"/>
  <c r="I69" i="3"/>
  <c r="L70" i="4" s="1"/>
  <c r="L69" i="3"/>
  <c r="O70" i="4" s="1"/>
  <c r="J69" i="3"/>
  <c r="M70" i="4" s="1"/>
  <c r="G66" i="3"/>
  <c r="H66" i="3" s="1"/>
  <c r="E67" i="4" s="1"/>
  <c r="D68" i="3"/>
  <c r="C69" i="4" s="1"/>
  <c r="H65" i="3"/>
  <c r="E66" i="4" s="1"/>
  <c r="B68" i="4"/>
  <c r="Q69" i="4" s="1"/>
  <c r="S67" i="3"/>
  <c r="T67" i="3" s="1"/>
  <c r="U67" i="3"/>
  <c r="V67" i="3" s="1"/>
  <c r="W67" i="3" s="1"/>
  <c r="A69" i="3"/>
  <c r="R70" i="3" s="1"/>
  <c r="A69" i="4"/>
  <c r="M69" i="3"/>
  <c r="I70" i="4" s="1"/>
  <c r="Q69" i="3"/>
  <c r="P70" i="4" s="1"/>
  <c r="F67" i="3"/>
  <c r="F68" i="4" s="1"/>
  <c r="E66" i="3"/>
  <c r="D66" i="4"/>
  <c r="O70" i="3" l="1"/>
  <c r="K71" i="4" s="1"/>
  <c r="K70" i="3"/>
  <c r="N71" i="4" s="1"/>
  <c r="I70" i="3"/>
  <c r="L71" i="4" s="1"/>
  <c r="N70" i="3"/>
  <c r="J71" i="4" s="1"/>
  <c r="L70" i="3"/>
  <c r="O71" i="4" s="1"/>
  <c r="J70" i="3"/>
  <c r="M71" i="4" s="1"/>
  <c r="G67" i="4"/>
  <c r="D69" i="3"/>
  <c r="A70" i="3"/>
  <c r="R71" i="3" s="1"/>
  <c r="Q70" i="3"/>
  <c r="P71" i="4" s="1"/>
  <c r="A70" i="4"/>
  <c r="M70" i="3"/>
  <c r="I71" i="4" s="1"/>
  <c r="F68" i="3"/>
  <c r="F69" i="4" s="1"/>
  <c r="G67" i="3"/>
  <c r="E67" i="3"/>
  <c r="D67" i="4"/>
  <c r="S68" i="3"/>
  <c r="T68" i="3" s="1"/>
  <c r="U68" i="3"/>
  <c r="V68" i="3" s="1"/>
  <c r="W68" i="3" s="1"/>
  <c r="B69" i="4"/>
  <c r="Q70" i="4" s="1"/>
  <c r="O71" i="3" l="1"/>
  <c r="K72" i="4" s="1"/>
  <c r="N71" i="3"/>
  <c r="J72" i="4" s="1"/>
  <c r="K71" i="3"/>
  <c r="N72" i="4" s="1"/>
  <c r="I71" i="3"/>
  <c r="L72" i="4" s="1"/>
  <c r="L71" i="3"/>
  <c r="O72" i="4" s="1"/>
  <c r="J71" i="3"/>
  <c r="M72" i="4" s="1"/>
  <c r="G68" i="3"/>
  <c r="G69" i="4" s="1"/>
  <c r="D70" i="3"/>
  <c r="G68" i="4"/>
  <c r="H67" i="3"/>
  <c r="E68" i="4" s="1"/>
  <c r="B70" i="4"/>
  <c r="Q71" i="4" s="1"/>
  <c r="S69" i="3"/>
  <c r="T69" i="3" s="1"/>
  <c r="U69" i="3"/>
  <c r="V69" i="3" s="1"/>
  <c r="W69" i="3" s="1"/>
  <c r="E68" i="3"/>
  <c r="D68" i="4"/>
  <c r="C70" i="4"/>
  <c r="A71" i="3"/>
  <c r="R72" i="3" s="1"/>
  <c r="Q71" i="3"/>
  <c r="P72" i="4" s="1"/>
  <c r="M71" i="3"/>
  <c r="I72" i="4" s="1"/>
  <c r="A71" i="4"/>
  <c r="F69" i="3"/>
  <c r="F70" i="4" s="1"/>
  <c r="O72" i="3" l="1"/>
  <c r="K73" i="4" s="1"/>
  <c r="K72" i="3"/>
  <c r="N73" i="4" s="1"/>
  <c r="I72" i="3"/>
  <c r="L73" i="4" s="1"/>
  <c r="N72" i="3"/>
  <c r="J73" i="4" s="1"/>
  <c r="L72" i="3"/>
  <c r="O73" i="4" s="1"/>
  <c r="J72" i="3"/>
  <c r="M73" i="4" s="1"/>
  <c r="H68" i="3"/>
  <c r="E69" i="4" s="1"/>
  <c r="D71" i="3"/>
  <c r="C72" i="4" s="1"/>
  <c r="B71" i="4"/>
  <c r="Q72" i="4" s="1"/>
  <c r="S70" i="3"/>
  <c r="T70" i="3" s="1"/>
  <c r="U70" i="3"/>
  <c r="V70" i="3" s="1"/>
  <c r="W70" i="3" s="1"/>
  <c r="C71" i="4"/>
  <c r="A72" i="3"/>
  <c r="R73" i="3" s="1"/>
  <c r="M72" i="3"/>
  <c r="I73" i="4" s="1"/>
  <c r="A72" i="4"/>
  <c r="Q72" i="3"/>
  <c r="P73" i="4" s="1"/>
  <c r="F70" i="3"/>
  <c r="F71" i="4" s="1"/>
  <c r="E69" i="3"/>
  <c r="D69" i="4"/>
  <c r="G69" i="3"/>
  <c r="G70" i="4" s="1"/>
  <c r="O73" i="3" l="1"/>
  <c r="K74" i="4" s="1"/>
  <c r="N73" i="3"/>
  <c r="J74" i="4" s="1"/>
  <c r="K73" i="3"/>
  <c r="N74" i="4" s="1"/>
  <c r="I73" i="3"/>
  <c r="L74" i="4" s="1"/>
  <c r="L73" i="3"/>
  <c r="O74" i="4" s="1"/>
  <c r="J73" i="3"/>
  <c r="M74" i="4" s="1"/>
  <c r="D72" i="3"/>
  <c r="E70" i="3"/>
  <c r="D70" i="4"/>
  <c r="H69" i="3"/>
  <c r="E70" i="4" s="1"/>
  <c r="G70" i="3"/>
  <c r="S71" i="3"/>
  <c r="T71" i="3" s="1"/>
  <c r="B72" i="4"/>
  <c r="Q73" i="4" s="1"/>
  <c r="U71" i="3"/>
  <c r="V71" i="3" s="1"/>
  <c r="W71" i="3" s="1"/>
  <c r="A73" i="3"/>
  <c r="R74" i="3" s="1"/>
  <c r="Q73" i="3"/>
  <c r="P74" i="4" s="1"/>
  <c r="A73" i="4"/>
  <c r="M73" i="3"/>
  <c r="I74" i="4" s="1"/>
  <c r="F71" i="3"/>
  <c r="F72" i="4" s="1"/>
  <c r="G71" i="3" l="1"/>
  <c r="G72" i="4" s="1"/>
  <c r="O74" i="3"/>
  <c r="K75" i="4" s="1"/>
  <c r="K74" i="3"/>
  <c r="N75" i="4" s="1"/>
  <c r="I74" i="3"/>
  <c r="L75" i="4" s="1"/>
  <c r="N74" i="3"/>
  <c r="J75" i="4" s="1"/>
  <c r="L74" i="3"/>
  <c r="O75" i="4" s="1"/>
  <c r="J74" i="3"/>
  <c r="M75" i="4" s="1"/>
  <c r="D73" i="3"/>
  <c r="C74" i="4" s="1"/>
  <c r="C73" i="4"/>
  <c r="A74" i="3"/>
  <c r="R75" i="3" s="1"/>
  <c r="A74" i="4"/>
  <c r="M74" i="3"/>
  <c r="I75" i="4" s="1"/>
  <c r="Q74" i="3"/>
  <c r="P75" i="4" s="1"/>
  <c r="F72" i="3"/>
  <c r="F73" i="4" s="1"/>
  <c r="H70" i="3"/>
  <c r="E71" i="4" s="1"/>
  <c r="G71" i="4"/>
  <c r="U72" i="3"/>
  <c r="V72" i="3" s="1"/>
  <c r="W72" i="3" s="1"/>
  <c r="S72" i="3"/>
  <c r="T72" i="3" s="1"/>
  <c r="B73" i="4"/>
  <c r="Q74" i="4" s="1"/>
  <c r="E71" i="3"/>
  <c r="D71" i="4"/>
  <c r="H71" i="3" l="1"/>
  <c r="E72" i="4" s="1"/>
  <c r="O75" i="3"/>
  <c r="K76" i="4" s="1"/>
  <c r="N75" i="3"/>
  <c r="J76" i="4" s="1"/>
  <c r="K75" i="3"/>
  <c r="N76" i="4" s="1"/>
  <c r="I75" i="3"/>
  <c r="L76" i="4" s="1"/>
  <c r="L75" i="3"/>
  <c r="O76" i="4" s="1"/>
  <c r="J75" i="3"/>
  <c r="M76" i="4" s="1"/>
  <c r="D74" i="3"/>
  <c r="D72" i="4"/>
  <c r="E72" i="3"/>
  <c r="G72" i="3"/>
  <c r="S73" i="3"/>
  <c r="T73" i="3" s="1"/>
  <c r="B74" i="4"/>
  <c r="Q75" i="4" s="1"/>
  <c r="U73" i="3"/>
  <c r="V73" i="3" s="1"/>
  <c r="W73" i="3" s="1"/>
  <c r="A75" i="3"/>
  <c r="R76" i="3" s="1"/>
  <c r="Q75" i="3"/>
  <c r="P76" i="4" s="1"/>
  <c r="M75" i="3"/>
  <c r="I76" i="4" s="1"/>
  <c r="A75" i="4"/>
  <c r="F73" i="3"/>
  <c r="F74" i="4" s="1"/>
  <c r="O76" i="3" l="1"/>
  <c r="K77" i="4" s="1"/>
  <c r="L76" i="3"/>
  <c r="O77" i="4" s="1"/>
  <c r="K76" i="3"/>
  <c r="N77" i="4" s="1"/>
  <c r="I76" i="3"/>
  <c r="L77" i="4" s="1"/>
  <c r="N76" i="3"/>
  <c r="J77" i="4" s="1"/>
  <c r="J76" i="3"/>
  <c r="M77" i="4" s="1"/>
  <c r="G73" i="3"/>
  <c r="H73" i="3" s="1"/>
  <c r="E74" i="4" s="1"/>
  <c r="D75" i="3"/>
  <c r="E73" i="3"/>
  <c r="D73" i="4"/>
  <c r="C75" i="4"/>
  <c r="U74" i="3"/>
  <c r="V74" i="3" s="1"/>
  <c r="W74" i="3" s="1"/>
  <c r="S74" i="3"/>
  <c r="T74" i="3" s="1"/>
  <c r="G74" i="3" s="1"/>
  <c r="G75" i="4" s="1"/>
  <c r="B75" i="4"/>
  <c r="Q76" i="4" s="1"/>
  <c r="A76" i="3"/>
  <c r="R77" i="3" s="1"/>
  <c r="M76" i="3"/>
  <c r="I77" i="4" s="1"/>
  <c r="A76" i="4"/>
  <c r="Q76" i="3"/>
  <c r="P77" i="4" s="1"/>
  <c r="F74" i="3"/>
  <c r="F75" i="4" s="1"/>
  <c r="H72" i="3"/>
  <c r="E73" i="4" s="1"/>
  <c r="G73" i="4"/>
  <c r="O77" i="3" l="1"/>
  <c r="K78" i="4" s="1"/>
  <c r="L77" i="3"/>
  <c r="O78" i="4" s="1"/>
  <c r="J77" i="3"/>
  <c r="M78" i="4" s="1"/>
  <c r="N77" i="3"/>
  <c r="J78" i="4" s="1"/>
  <c r="K77" i="3"/>
  <c r="N78" i="4" s="1"/>
  <c r="I77" i="3"/>
  <c r="L78" i="4" s="1"/>
  <c r="G74" i="4"/>
  <c r="D76" i="3"/>
  <c r="C77" i="4" s="1"/>
  <c r="C76" i="4"/>
  <c r="A77" i="3"/>
  <c r="R78" i="3" s="1"/>
  <c r="M77" i="3"/>
  <c r="I78" i="4" s="1"/>
  <c r="A77" i="4"/>
  <c r="Q77" i="3"/>
  <c r="P78" i="4" s="1"/>
  <c r="F75" i="3"/>
  <c r="F76" i="4" s="1"/>
  <c r="H74" i="3"/>
  <c r="E75" i="4" s="1"/>
  <c r="U75" i="3"/>
  <c r="V75" i="3" s="1"/>
  <c r="W75" i="3" s="1"/>
  <c r="S75" i="3"/>
  <c r="T75" i="3" s="1"/>
  <c r="B76" i="4"/>
  <c r="Q77" i="4" s="1"/>
  <c r="D74" i="4"/>
  <c r="E74" i="3"/>
  <c r="O78" i="3" l="1"/>
  <c r="K79" i="4" s="1"/>
  <c r="L78" i="3"/>
  <c r="O79" i="4" s="1"/>
  <c r="J78" i="3"/>
  <c r="M79" i="4" s="1"/>
  <c r="K78" i="3"/>
  <c r="N79" i="4" s="1"/>
  <c r="N78" i="3"/>
  <c r="J79" i="4" s="1"/>
  <c r="I78" i="3"/>
  <c r="L79" i="4" s="1"/>
  <c r="D77" i="3"/>
  <c r="C78" i="4" s="1"/>
  <c r="G75" i="3"/>
  <c r="E75" i="3"/>
  <c r="D75" i="4"/>
  <c r="B77" i="4"/>
  <c r="Q78" i="4" s="1"/>
  <c r="S76" i="3"/>
  <c r="T76" i="3" s="1"/>
  <c r="U76" i="3"/>
  <c r="V76" i="3" s="1"/>
  <c r="W76" i="3" s="1"/>
  <c r="A78" i="3"/>
  <c r="R79" i="3" s="1"/>
  <c r="A78" i="4"/>
  <c r="Q78" i="3"/>
  <c r="P79" i="4" s="1"/>
  <c r="M78" i="3"/>
  <c r="I79" i="4" s="1"/>
  <c r="F76" i="3"/>
  <c r="F77" i="4" s="1"/>
  <c r="O79" i="3" l="1"/>
  <c r="K80" i="4" s="1"/>
  <c r="L79" i="3"/>
  <c r="O80" i="4" s="1"/>
  <c r="J79" i="3"/>
  <c r="M80" i="4" s="1"/>
  <c r="N79" i="3"/>
  <c r="J80" i="4" s="1"/>
  <c r="K79" i="3"/>
  <c r="N80" i="4" s="1"/>
  <c r="I79" i="3"/>
  <c r="L80" i="4" s="1"/>
  <c r="G76" i="3"/>
  <c r="G77" i="4" s="1"/>
  <c r="D78" i="3"/>
  <c r="D76" i="4"/>
  <c r="E76" i="3"/>
  <c r="U77" i="3"/>
  <c r="V77" i="3" s="1"/>
  <c r="W77" i="3" s="1"/>
  <c r="S77" i="3"/>
  <c r="T77" i="3" s="1"/>
  <c r="B78" i="4"/>
  <c r="Q79" i="4" s="1"/>
  <c r="A79" i="3"/>
  <c r="R80" i="3" s="1"/>
  <c r="A79" i="4"/>
  <c r="M79" i="3"/>
  <c r="I80" i="4" s="1"/>
  <c r="Q79" i="3"/>
  <c r="P80" i="4" s="1"/>
  <c r="F77" i="3"/>
  <c r="F78" i="4" s="1"/>
  <c r="H75" i="3"/>
  <c r="E76" i="4" s="1"/>
  <c r="G76" i="4"/>
  <c r="O80" i="3" l="1"/>
  <c r="K81" i="4" s="1"/>
  <c r="L80" i="3"/>
  <c r="O81" i="4" s="1"/>
  <c r="J80" i="3"/>
  <c r="M81" i="4" s="1"/>
  <c r="K80" i="3"/>
  <c r="N81" i="4" s="1"/>
  <c r="N80" i="3"/>
  <c r="J81" i="4" s="1"/>
  <c r="I80" i="3"/>
  <c r="L81" i="4" s="1"/>
  <c r="H76" i="3"/>
  <c r="E77" i="4" s="1"/>
  <c r="G77" i="3"/>
  <c r="G78" i="4" s="1"/>
  <c r="D79" i="3"/>
  <c r="C79" i="4"/>
  <c r="D77" i="4"/>
  <c r="E77" i="3"/>
  <c r="B79" i="4"/>
  <c r="Q80" i="4" s="1"/>
  <c r="S78" i="3"/>
  <c r="T78" i="3" s="1"/>
  <c r="U78" i="3"/>
  <c r="V78" i="3" s="1"/>
  <c r="W78" i="3" s="1"/>
  <c r="A80" i="3"/>
  <c r="R81" i="3" s="1"/>
  <c r="A80" i="4"/>
  <c r="Q80" i="3"/>
  <c r="P81" i="4" s="1"/>
  <c r="M80" i="3"/>
  <c r="I81" i="4" s="1"/>
  <c r="F78" i="3"/>
  <c r="F79" i="4" s="1"/>
  <c r="O81" i="3" l="1"/>
  <c r="K82" i="4" s="1"/>
  <c r="L81" i="3"/>
  <c r="O82" i="4" s="1"/>
  <c r="J81" i="3"/>
  <c r="M82" i="4" s="1"/>
  <c r="N81" i="3"/>
  <c r="J82" i="4" s="1"/>
  <c r="K81" i="3"/>
  <c r="N82" i="4" s="1"/>
  <c r="I81" i="3"/>
  <c r="L82" i="4" s="1"/>
  <c r="H77" i="3"/>
  <c r="E78" i="4" s="1"/>
  <c r="G78" i="3"/>
  <c r="G79" i="4" s="1"/>
  <c r="D80" i="3"/>
  <c r="S79" i="3"/>
  <c r="T79" i="3" s="1"/>
  <c r="U79" i="3"/>
  <c r="V79" i="3" s="1"/>
  <c r="W79" i="3" s="1"/>
  <c r="B80" i="4"/>
  <c r="Q81" i="4" s="1"/>
  <c r="C80" i="4"/>
  <c r="A81" i="3"/>
  <c r="R82" i="3" s="1"/>
  <c r="A81" i="4"/>
  <c r="M81" i="3"/>
  <c r="I82" i="4" s="1"/>
  <c r="Q81" i="3"/>
  <c r="P82" i="4" s="1"/>
  <c r="F79" i="3"/>
  <c r="F80" i="4" s="1"/>
  <c r="E78" i="3"/>
  <c r="D78" i="4"/>
  <c r="O82" i="3" l="1"/>
  <c r="K83" i="4" s="1"/>
  <c r="L82" i="3"/>
  <c r="O83" i="4" s="1"/>
  <c r="J82" i="3"/>
  <c r="M83" i="4" s="1"/>
  <c r="K82" i="3"/>
  <c r="N83" i="4" s="1"/>
  <c r="N82" i="3"/>
  <c r="J83" i="4" s="1"/>
  <c r="I82" i="3"/>
  <c r="L83" i="4" s="1"/>
  <c r="H78" i="3"/>
  <c r="E79" i="4" s="1"/>
  <c r="D81" i="3"/>
  <c r="C82" i="4" s="1"/>
  <c r="E79" i="3"/>
  <c r="D79" i="4"/>
  <c r="C81" i="4"/>
  <c r="G79" i="3"/>
  <c r="S80" i="3"/>
  <c r="T80" i="3" s="1"/>
  <c r="B81" i="4"/>
  <c r="Q82" i="4" s="1"/>
  <c r="U80" i="3"/>
  <c r="V80" i="3" s="1"/>
  <c r="W80" i="3" s="1"/>
  <c r="A82" i="4"/>
  <c r="M82" i="3"/>
  <c r="I83" i="4" s="1"/>
  <c r="Q82" i="3"/>
  <c r="P83" i="4" s="1"/>
  <c r="A82" i="3"/>
  <c r="R83" i="3" s="1"/>
  <c r="F80" i="3"/>
  <c r="F81" i="4" s="1"/>
  <c r="G80" i="3" l="1"/>
  <c r="G81" i="4" s="1"/>
  <c r="O83" i="3"/>
  <c r="K84" i="4" s="1"/>
  <c r="L83" i="3"/>
  <c r="O84" i="4" s="1"/>
  <c r="J83" i="3"/>
  <c r="M84" i="4" s="1"/>
  <c r="N83" i="3"/>
  <c r="J84" i="4" s="1"/>
  <c r="K83" i="3"/>
  <c r="N84" i="4" s="1"/>
  <c r="I83" i="3"/>
  <c r="L84" i="4" s="1"/>
  <c r="D82" i="3"/>
  <c r="S81" i="3"/>
  <c r="T81" i="3" s="1"/>
  <c r="B82" i="4"/>
  <c r="Q83" i="4" s="1"/>
  <c r="U81" i="3"/>
  <c r="V81" i="3" s="1"/>
  <c r="W81" i="3" s="1"/>
  <c r="A83" i="4"/>
  <c r="A83" i="3"/>
  <c r="R84" i="3" s="1"/>
  <c r="M83" i="3"/>
  <c r="I84" i="4" s="1"/>
  <c r="Q83" i="3"/>
  <c r="P84" i="4" s="1"/>
  <c r="F81" i="3"/>
  <c r="F82" i="4" s="1"/>
  <c r="H79" i="3"/>
  <c r="E80" i="4" s="1"/>
  <c r="G80" i="4"/>
  <c r="E80" i="3"/>
  <c r="D80" i="4"/>
  <c r="H80" i="3" l="1"/>
  <c r="E81" i="4" s="1"/>
  <c r="O84" i="3"/>
  <c r="K85" i="4" s="1"/>
  <c r="L84" i="3"/>
  <c r="O85" i="4" s="1"/>
  <c r="J84" i="3"/>
  <c r="M85" i="4" s="1"/>
  <c r="K84" i="3"/>
  <c r="N85" i="4" s="1"/>
  <c r="N84" i="3"/>
  <c r="J85" i="4" s="1"/>
  <c r="I84" i="3"/>
  <c r="L85" i="4" s="1"/>
  <c r="D83" i="3"/>
  <c r="C83" i="4"/>
  <c r="D81" i="4"/>
  <c r="E81" i="3"/>
  <c r="M84" i="3"/>
  <c r="I85" i="4" s="1"/>
  <c r="A84" i="3"/>
  <c r="R85" i="3" s="1"/>
  <c r="Q84" i="3"/>
  <c r="P85" i="4" s="1"/>
  <c r="A84" i="4"/>
  <c r="F82" i="3"/>
  <c r="F83" i="4" s="1"/>
  <c r="S82" i="3"/>
  <c r="T82" i="3" s="1"/>
  <c r="B83" i="4"/>
  <c r="Q84" i="4" s="1"/>
  <c r="U82" i="3"/>
  <c r="V82" i="3" s="1"/>
  <c r="W82" i="3" s="1"/>
  <c r="G81" i="3"/>
  <c r="O85" i="3" l="1"/>
  <c r="K86" i="4" s="1"/>
  <c r="L85" i="3"/>
  <c r="O86" i="4" s="1"/>
  <c r="J85" i="3"/>
  <c r="M86" i="4" s="1"/>
  <c r="N85" i="3"/>
  <c r="J86" i="4" s="1"/>
  <c r="K85" i="3"/>
  <c r="N86" i="4" s="1"/>
  <c r="I85" i="3"/>
  <c r="L86" i="4" s="1"/>
  <c r="G82" i="3"/>
  <c r="G83" i="4" s="1"/>
  <c r="D84" i="3"/>
  <c r="C85" i="4" s="1"/>
  <c r="B84" i="4"/>
  <c r="Q85" i="4" s="1"/>
  <c r="S83" i="3"/>
  <c r="T83" i="3" s="1"/>
  <c r="U83" i="3"/>
  <c r="V83" i="3" s="1"/>
  <c r="W83" i="3" s="1"/>
  <c r="E82" i="3"/>
  <c r="D82" i="4"/>
  <c r="G82" i="4"/>
  <c r="H81" i="3"/>
  <c r="E82" i="4" s="1"/>
  <c r="M85" i="3"/>
  <c r="I86" i="4" s="1"/>
  <c r="A85" i="3"/>
  <c r="R86" i="3" s="1"/>
  <c r="Q85" i="3"/>
  <c r="P86" i="4" s="1"/>
  <c r="A85" i="4"/>
  <c r="F83" i="3"/>
  <c r="F84" i="4" s="1"/>
  <c r="C84" i="4"/>
  <c r="H82" i="3" l="1"/>
  <c r="E83" i="4" s="1"/>
  <c r="O86" i="3"/>
  <c r="K87" i="4" s="1"/>
  <c r="L86" i="3"/>
  <c r="O87" i="4" s="1"/>
  <c r="J86" i="3"/>
  <c r="M87" i="4" s="1"/>
  <c r="K86" i="3"/>
  <c r="N87" i="4" s="1"/>
  <c r="N86" i="3"/>
  <c r="J87" i="4" s="1"/>
  <c r="I86" i="3"/>
  <c r="L87" i="4" s="1"/>
  <c r="D85" i="3"/>
  <c r="C86" i="4" s="1"/>
  <c r="A86" i="3"/>
  <c r="R87" i="3" s="1"/>
  <c r="A86" i="4"/>
  <c r="Q86" i="3"/>
  <c r="P87" i="4" s="1"/>
  <c r="M86" i="3"/>
  <c r="I87" i="4" s="1"/>
  <c r="F84" i="3"/>
  <c r="F85" i="4" s="1"/>
  <c r="D83" i="4"/>
  <c r="E83" i="3"/>
  <c r="G83" i="3"/>
  <c r="B85" i="4"/>
  <c r="Q86" i="4" s="1"/>
  <c r="S84" i="3"/>
  <c r="T84" i="3" s="1"/>
  <c r="U84" i="3"/>
  <c r="V84" i="3" s="1"/>
  <c r="W84" i="3" s="1"/>
  <c r="O87" i="3" l="1"/>
  <c r="K88" i="4" s="1"/>
  <c r="L87" i="3"/>
  <c r="O88" i="4" s="1"/>
  <c r="J87" i="3"/>
  <c r="M88" i="4" s="1"/>
  <c r="N87" i="3"/>
  <c r="J88" i="4" s="1"/>
  <c r="K87" i="3"/>
  <c r="N88" i="4" s="1"/>
  <c r="I87" i="3"/>
  <c r="L88" i="4" s="1"/>
  <c r="G84" i="3"/>
  <c r="G85" i="4" s="1"/>
  <c r="D86" i="3"/>
  <c r="C87" i="4" s="1"/>
  <c r="G84" i="4"/>
  <c r="H83" i="3"/>
  <c r="E84" i="4" s="1"/>
  <c r="S85" i="3"/>
  <c r="T85" i="3" s="1"/>
  <c r="U85" i="3"/>
  <c r="V85" i="3" s="1"/>
  <c r="W85" i="3" s="1"/>
  <c r="B86" i="4"/>
  <c r="Q87" i="4" s="1"/>
  <c r="A87" i="3"/>
  <c r="R88" i="3" s="1"/>
  <c r="Q87" i="3"/>
  <c r="P88" i="4" s="1"/>
  <c r="A87" i="4"/>
  <c r="M87" i="3"/>
  <c r="I88" i="4" s="1"/>
  <c r="F85" i="3"/>
  <c r="F86" i="4" s="1"/>
  <c r="D84" i="4"/>
  <c r="E84" i="3"/>
  <c r="O88" i="3" l="1"/>
  <c r="K89" i="4" s="1"/>
  <c r="L88" i="3"/>
  <c r="O89" i="4" s="1"/>
  <c r="J88" i="3"/>
  <c r="M89" i="4" s="1"/>
  <c r="K88" i="3"/>
  <c r="N89" i="4" s="1"/>
  <c r="N88" i="3"/>
  <c r="J89" i="4" s="1"/>
  <c r="I88" i="3"/>
  <c r="L89" i="4" s="1"/>
  <c r="H84" i="3"/>
  <c r="E85" i="4" s="1"/>
  <c r="D87" i="3"/>
  <c r="C88" i="4" s="1"/>
  <c r="S86" i="3"/>
  <c r="T86" i="3" s="1"/>
  <c r="U86" i="3"/>
  <c r="V86" i="3" s="1"/>
  <c r="W86" i="3" s="1"/>
  <c r="B87" i="4"/>
  <c r="Q88" i="4" s="1"/>
  <c r="D85" i="4"/>
  <c r="E85" i="3"/>
  <c r="A88" i="3"/>
  <c r="Q88" i="3"/>
  <c r="P89" i="4" s="1"/>
  <c r="A88" i="4"/>
  <c r="M88" i="3"/>
  <c r="I89" i="4" s="1"/>
  <c r="F86" i="3"/>
  <c r="F87" i="4" s="1"/>
  <c r="G85" i="3"/>
  <c r="G86" i="4" s="1"/>
  <c r="O89" i="3" l="1"/>
  <c r="K90" i="4" s="1"/>
  <c r="L89" i="3"/>
  <c r="O90" i="4" s="1"/>
  <c r="J89" i="3"/>
  <c r="M90" i="4" s="1"/>
  <c r="N89" i="3"/>
  <c r="J90" i="4" s="1"/>
  <c r="K89" i="3"/>
  <c r="N90" i="4" s="1"/>
  <c r="I89" i="3"/>
  <c r="L90" i="4" s="1"/>
  <c r="D88" i="3"/>
  <c r="C89" i="4" s="1"/>
  <c r="A89" i="4"/>
  <c r="A89" i="3"/>
  <c r="M89" i="3"/>
  <c r="I90" i="4" s="1"/>
  <c r="F87" i="3"/>
  <c r="F88" i="4" s="1"/>
  <c r="H85" i="3"/>
  <c r="E86" i="4" s="1"/>
  <c r="U87" i="3"/>
  <c r="V87" i="3" s="1"/>
  <c r="W87" i="3" s="1"/>
  <c r="B88" i="4"/>
  <c r="Q89" i="4" s="1"/>
  <c r="S87" i="3"/>
  <c r="T87" i="3" s="1"/>
  <c r="E86" i="3"/>
  <c r="D86" i="4"/>
  <c r="G86" i="3"/>
  <c r="G87" i="4" s="1"/>
  <c r="G87" i="3" l="1"/>
  <c r="H87" i="3" s="1"/>
  <c r="E88" i="4" s="1"/>
  <c r="D89" i="3"/>
  <c r="A90" i="3"/>
  <c r="M90" i="3"/>
  <c r="I91" i="4" s="1"/>
  <c r="F88" i="3"/>
  <c r="F89" i="4" s="1"/>
  <c r="D87" i="4"/>
  <c r="E87" i="3"/>
  <c r="S88" i="3"/>
  <c r="T88" i="3" s="1"/>
  <c r="B89" i="4"/>
  <c r="U88" i="3"/>
  <c r="V88" i="3" s="1"/>
  <c r="W88" i="3" s="1"/>
  <c r="H86" i="3"/>
  <c r="E87" i="4" s="1"/>
  <c r="G88" i="3" l="1"/>
  <c r="G89" i="4" s="1"/>
  <c r="G88" i="4"/>
  <c r="D90" i="3"/>
  <c r="D88" i="4"/>
  <c r="E88" i="3"/>
  <c r="U89" i="3"/>
  <c r="V89" i="3" s="1"/>
  <c r="W89" i="3" s="1"/>
  <c r="S89" i="3"/>
  <c r="T89" i="3" s="1"/>
  <c r="A91" i="4"/>
  <c r="A91" i="3"/>
  <c r="M91" i="3"/>
  <c r="I92" i="4" s="1"/>
  <c r="F89" i="3"/>
  <c r="F90" i="4" s="1"/>
  <c r="C90" i="4"/>
  <c r="G89" i="3" l="1"/>
  <c r="R89" i="3" s="1"/>
  <c r="H88" i="3"/>
  <c r="E89" i="4" s="1"/>
  <c r="R92" i="3"/>
  <c r="D91" i="3"/>
  <c r="C92" i="4" s="1"/>
  <c r="C91" i="4"/>
  <c r="B91" i="4"/>
  <c r="U90" i="3"/>
  <c r="V90" i="3" s="1"/>
  <c r="W90" i="3" s="1"/>
  <c r="S90" i="3"/>
  <c r="T90" i="3" s="1"/>
  <c r="E89" i="3"/>
  <c r="D89" i="4"/>
  <c r="A92" i="3"/>
  <c r="Q92" i="3"/>
  <c r="P93" i="4" s="1"/>
  <c r="A92" i="4"/>
  <c r="M92" i="3"/>
  <c r="I93" i="4" s="1"/>
  <c r="F90" i="3"/>
  <c r="G90" i="4" l="1"/>
  <c r="Q89" i="3"/>
  <c r="P90" i="4" s="1"/>
  <c r="G90" i="3"/>
  <c r="G91" i="4" s="1"/>
  <c r="H89" i="3"/>
  <c r="R90" i="3"/>
  <c r="R93" i="3"/>
  <c r="D92" i="3"/>
  <c r="C93" i="4" s="1"/>
  <c r="F91" i="4"/>
  <c r="B92" i="4"/>
  <c r="Q93" i="4" s="1"/>
  <c r="S91" i="3"/>
  <c r="T91" i="3" s="1"/>
  <c r="U91" i="3"/>
  <c r="V91" i="3" s="1"/>
  <c r="W91" i="3" s="1"/>
  <c r="E90" i="3"/>
  <c r="D90" i="4"/>
  <c r="A93" i="4"/>
  <c r="A93" i="3"/>
  <c r="Q93" i="3"/>
  <c r="P94" i="4" s="1"/>
  <c r="M93" i="3"/>
  <c r="I94" i="4" s="1"/>
  <c r="F91" i="3"/>
  <c r="F92" i="4" s="1"/>
  <c r="H90" i="3" l="1"/>
  <c r="E91" i="4" s="1"/>
  <c r="Q91" i="4" s="1"/>
  <c r="G91" i="3"/>
  <c r="Q91" i="3"/>
  <c r="P92" i="4" s="1"/>
  <c r="E90" i="4"/>
  <c r="Q90" i="4" s="1"/>
  <c r="Q90" i="3"/>
  <c r="P91" i="4" s="1"/>
  <c r="R94" i="3"/>
  <c r="D93" i="3"/>
  <c r="C94" i="4" s="1"/>
  <c r="U92" i="3"/>
  <c r="V92" i="3" s="1"/>
  <c r="W92" i="3" s="1"/>
  <c r="S92" i="3"/>
  <c r="T92" i="3" s="1"/>
  <c r="B93" i="4"/>
  <c r="Q94" i="4" s="1"/>
  <c r="E91" i="3"/>
  <c r="D91" i="4"/>
  <c r="A94" i="3"/>
  <c r="Q94" i="3"/>
  <c r="P95" i="4" s="1"/>
  <c r="A94" i="4"/>
  <c r="M94" i="3"/>
  <c r="I95" i="4" s="1"/>
  <c r="F92" i="3"/>
  <c r="F93" i="4" s="1"/>
  <c r="G92" i="3" l="1"/>
  <c r="G92" i="4"/>
  <c r="R91" i="3"/>
  <c r="R95" i="3"/>
  <c r="D94" i="3"/>
  <c r="B94" i="4"/>
  <c r="Q95" i="4" s="1"/>
  <c r="S93" i="3"/>
  <c r="T93" i="3" s="1"/>
  <c r="U93" i="3"/>
  <c r="V93" i="3" s="1"/>
  <c r="W93" i="3" s="1"/>
  <c r="A95" i="3"/>
  <c r="M95" i="3"/>
  <c r="I96" i="4" s="1"/>
  <c r="A95" i="4"/>
  <c r="Q95" i="3"/>
  <c r="P96" i="4" s="1"/>
  <c r="F93" i="3"/>
  <c r="F94" i="4" s="1"/>
  <c r="D92" i="4"/>
  <c r="E92" i="3"/>
  <c r="H91" i="3"/>
  <c r="E92" i="4" s="1"/>
  <c r="Q92" i="4" s="1"/>
  <c r="G93" i="3" l="1"/>
  <c r="R96" i="3"/>
  <c r="D95" i="3"/>
  <c r="C96" i="4" s="1"/>
  <c r="D93" i="4"/>
  <c r="E93" i="3"/>
  <c r="C95" i="4"/>
  <c r="B95" i="4"/>
  <c r="Q96" i="4" s="1"/>
  <c r="S94" i="3"/>
  <c r="T94" i="3" s="1"/>
  <c r="U94" i="3"/>
  <c r="V94" i="3" s="1"/>
  <c r="W94" i="3" s="1"/>
  <c r="G93" i="4"/>
  <c r="H92" i="3"/>
  <c r="E93" i="4" s="1"/>
  <c r="A96" i="3"/>
  <c r="Q96" i="3"/>
  <c r="P97" i="4" s="1"/>
  <c r="A96" i="4"/>
  <c r="M96" i="3"/>
  <c r="I97" i="4" s="1"/>
  <c r="F94" i="3"/>
  <c r="F95" i="4" s="1"/>
  <c r="G94" i="3" l="1"/>
  <c r="H94" i="3" s="1"/>
  <c r="E95" i="4" s="1"/>
  <c r="R97" i="3"/>
  <c r="D96" i="3"/>
  <c r="A97" i="3"/>
  <c r="Q97" i="3"/>
  <c r="P98" i="4" s="1"/>
  <c r="M97" i="3"/>
  <c r="I98" i="4" s="1"/>
  <c r="A97" i="4"/>
  <c r="F95" i="3"/>
  <c r="G94" i="4"/>
  <c r="H93" i="3"/>
  <c r="E94" i="4" s="1"/>
  <c r="E94" i="3"/>
  <c r="D94" i="4"/>
  <c r="U95" i="3"/>
  <c r="V95" i="3" s="1"/>
  <c r="W95" i="3" s="1"/>
  <c r="B96" i="4"/>
  <c r="Q97" i="4" s="1"/>
  <c r="S95" i="3"/>
  <c r="T95" i="3" s="1"/>
  <c r="G95" i="3" s="1"/>
  <c r="G96" i="4" s="1"/>
  <c r="G95" i="4" l="1"/>
  <c r="R98" i="3"/>
  <c r="D97" i="3"/>
  <c r="C98" i="4" s="1"/>
  <c r="D95" i="4"/>
  <c r="E95" i="3"/>
  <c r="A98" i="4"/>
  <c r="M98" i="3"/>
  <c r="I99" i="4" s="1"/>
  <c r="A98" i="3"/>
  <c r="Q98" i="3"/>
  <c r="P99" i="4" s="1"/>
  <c r="F96" i="3"/>
  <c r="F97" i="4" s="1"/>
  <c r="F96" i="4"/>
  <c r="H95" i="3"/>
  <c r="E96" i="4" s="1"/>
  <c r="B97" i="4"/>
  <c r="Q98" i="4" s="1"/>
  <c r="U96" i="3"/>
  <c r="V96" i="3" s="1"/>
  <c r="W96" i="3" s="1"/>
  <c r="S96" i="3"/>
  <c r="T96" i="3" s="1"/>
  <c r="C97" i="4"/>
  <c r="G96" i="3" l="1"/>
  <c r="G97" i="4" s="1"/>
  <c r="R99" i="3"/>
  <c r="D98" i="3"/>
  <c r="C99" i="4" s="1"/>
  <c r="B98" i="4"/>
  <c r="Q99" i="4" s="1"/>
  <c r="S97" i="3"/>
  <c r="T97" i="3" s="1"/>
  <c r="U97" i="3"/>
  <c r="V97" i="3" s="1"/>
  <c r="W97" i="3" s="1"/>
  <c r="E96" i="3"/>
  <c r="D96" i="4"/>
  <c r="Q99" i="3"/>
  <c r="P100" i="4" s="1"/>
  <c r="A99" i="4"/>
  <c r="A99" i="3"/>
  <c r="M99" i="3"/>
  <c r="I100" i="4" s="1"/>
  <c r="F97" i="3"/>
  <c r="F98" i="4" s="1"/>
  <c r="G97" i="3" l="1"/>
  <c r="H96" i="3"/>
  <c r="E97" i="4" s="1"/>
  <c r="R100" i="3"/>
  <c r="D99" i="3"/>
  <c r="C100" i="4" s="1"/>
  <c r="S98" i="3"/>
  <c r="T98" i="3" s="1"/>
  <c r="U98" i="3"/>
  <c r="V98" i="3" s="1"/>
  <c r="W98" i="3" s="1"/>
  <c r="B99" i="4"/>
  <c r="Q100" i="4" s="1"/>
  <c r="E97" i="3"/>
  <c r="D97" i="4"/>
  <c r="A100" i="3"/>
  <c r="Q100" i="3"/>
  <c r="P101" i="4" s="1"/>
  <c r="A100" i="4"/>
  <c r="M100" i="3"/>
  <c r="I101" i="4" s="1"/>
  <c r="F98" i="3"/>
  <c r="F99" i="4" s="1"/>
  <c r="G98" i="3" l="1"/>
  <c r="G99" i="4" s="1"/>
  <c r="R101" i="3"/>
  <c r="D100" i="3"/>
  <c r="A101" i="3"/>
  <c r="Q101" i="3"/>
  <c r="P102" i="4" s="1"/>
  <c r="M101" i="3"/>
  <c r="I102" i="4" s="1"/>
  <c r="A101" i="4"/>
  <c r="F99" i="3"/>
  <c r="F100" i="4" s="1"/>
  <c r="G98" i="4"/>
  <c r="H97" i="3"/>
  <c r="E98" i="4" s="1"/>
  <c r="E98" i="3"/>
  <c r="D98" i="4"/>
  <c r="S99" i="3"/>
  <c r="T99" i="3" s="1"/>
  <c r="U99" i="3"/>
  <c r="V99" i="3" s="1"/>
  <c r="W99" i="3" s="1"/>
  <c r="B100" i="4"/>
  <c r="Q101" i="4" s="1"/>
  <c r="G99" i="3" l="1"/>
  <c r="G100" i="4" s="1"/>
  <c r="H98" i="3"/>
  <c r="E99" i="4" s="1"/>
  <c r="R102" i="3"/>
  <c r="D101" i="3"/>
  <c r="C102" i="4" s="1"/>
  <c r="H99" i="3"/>
  <c r="E100" i="4" s="1"/>
  <c r="U100" i="3"/>
  <c r="V100" i="3" s="1"/>
  <c r="W100" i="3" s="1"/>
  <c r="B101" i="4"/>
  <c r="Q102" i="4" s="1"/>
  <c r="S100" i="3"/>
  <c r="T100" i="3" s="1"/>
  <c r="G100" i="3" s="1"/>
  <c r="G101" i="4" s="1"/>
  <c r="C101" i="4"/>
  <c r="D99" i="4"/>
  <c r="E99" i="3"/>
  <c r="A102" i="4"/>
  <c r="M102" i="3"/>
  <c r="I103" i="4" s="1"/>
  <c r="A102" i="3"/>
  <c r="Q102" i="3"/>
  <c r="P103" i="4" s="1"/>
  <c r="F100" i="3"/>
  <c r="R103" i="3" l="1"/>
  <c r="D102" i="3"/>
  <c r="F101" i="4"/>
  <c r="H100" i="3"/>
  <c r="E101" i="4" s="1"/>
  <c r="B102" i="4"/>
  <c r="Q103" i="4" s="1"/>
  <c r="S101" i="3"/>
  <c r="T101" i="3" s="1"/>
  <c r="U101" i="3"/>
  <c r="V101" i="3" s="1"/>
  <c r="W101" i="3" s="1"/>
  <c r="A103" i="3"/>
  <c r="M103" i="3"/>
  <c r="I104" i="4" s="1"/>
  <c r="A103" i="4"/>
  <c r="Q103" i="3"/>
  <c r="P104" i="4" s="1"/>
  <c r="F101" i="3"/>
  <c r="F102" i="4" s="1"/>
  <c r="D100" i="4"/>
  <c r="E100" i="3"/>
  <c r="G101" i="3" l="1"/>
  <c r="R104" i="3"/>
  <c r="D103" i="3"/>
  <c r="C104" i="4" s="1"/>
  <c r="D101" i="4"/>
  <c r="E101" i="3"/>
  <c r="C103" i="4"/>
  <c r="S102" i="3"/>
  <c r="T102" i="3" s="1"/>
  <c r="B103" i="4"/>
  <c r="Q104" i="4" s="1"/>
  <c r="U102" i="3"/>
  <c r="V102" i="3" s="1"/>
  <c r="W102" i="3" s="1"/>
  <c r="A104" i="3"/>
  <c r="Q104" i="3"/>
  <c r="P105" i="4" s="1"/>
  <c r="A104" i="4"/>
  <c r="M104" i="3"/>
  <c r="I105" i="4" s="1"/>
  <c r="F102" i="3"/>
  <c r="F103" i="4" s="1"/>
  <c r="G102" i="3" l="1"/>
  <c r="G103" i="4" s="1"/>
  <c r="R105" i="3"/>
  <c r="D104" i="3"/>
  <c r="S103" i="3"/>
  <c r="T103" i="3" s="1"/>
  <c r="B104" i="4"/>
  <c r="Q105" i="4" s="1"/>
  <c r="U103" i="3"/>
  <c r="V103" i="3" s="1"/>
  <c r="W103" i="3" s="1"/>
  <c r="A105" i="3"/>
  <c r="Q105" i="3"/>
  <c r="P106" i="4" s="1"/>
  <c r="M105" i="3"/>
  <c r="I106" i="4" s="1"/>
  <c r="A105" i="4"/>
  <c r="F103" i="3"/>
  <c r="F104" i="4" s="1"/>
  <c r="H101" i="3"/>
  <c r="E102" i="4" s="1"/>
  <c r="G102" i="4"/>
  <c r="D102" i="4"/>
  <c r="E102" i="3"/>
  <c r="G103" i="3" l="1"/>
  <c r="H102" i="3"/>
  <c r="E103" i="4" s="1"/>
  <c r="R106" i="3"/>
  <c r="D105" i="3"/>
  <c r="C106" i="4" s="1"/>
  <c r="E103" i="3"/>
  <c r="D103" i="4"/>
  <c r="B105" i="4"/>
  <c r="Q106" i="4" s="1"/>
  <c r="U104" i="3"/>
  <c r="V104" i="3" s="1"/>
  <c r="W104" i="3" s="1"/>
  <c r="S104" i="3"/>
  <c r="T104" i="3" s="1"/>
  <c r="C105" i="4"/>
  <c r="A106" i="3"/>
  <c r="Q106" i="3"/>
  <c r="P107" i="4" s="1"/>
  <c r="A106" i="4"/>
  <c r="M106" i="3"/>
  <c r="I107" i="4" s="1"/>
  <c r="F104" i="3"/>
  <c r="F105" i="4" s="1"/>
  <c r="G104" i="3" l="1"/>
  <c r="G105" i="4" s="1"/>
  <c r="R107" i="3"/>
  <c r="D106" i="3"/>
  <c r="G104" i="4"/>
  <c r="H103" i="3"/>
  <c r="E104" i="4" s="1"/>
  <c r="A107" i="4"/>
  <c r="A107" i="3"/>
  <c r="Q107" i="3"/>
  <c r="P108" i="4" s="1"/>
  <c r="M107" i="3"/>
  <c r="I108" i="4" s="1"/>
  <c r="F105" i="3"/>
  <c r="E104" i="3"/>
  <c r="D104" i="4"/>
  <c r="B106" i="4"/>
  <c r="Q107" i="4" s="1"/>
  <c r="S105" i="3"/>
  <c r="T105" i="3" s="1"/>
  <c r="U105" i="3"/>
  <c r="V105" i="3" s="1"/>
  <c r="W105" i="3" s="1"/>
  <c r="G105" i="3" l="1"/>
  <c r="G106" i="4" s="1"/>
  <c r="H104" i="3"/>
  <c r="E105" i="4" s="1"/>
  <c r="R108" i="3"/>
  <c r="D107" i="3"/>
  <c r="C108" i="4" s="1"/>
  <c r="F106" i="4"/>
  <c r="C107" i="4"/>
  <c r="B107" i="4"/>
  <c r="Q108" i="4" s="1"/>
  <c r="U106" i="3"/>
  <c r="V106" i="3" s="1"/>
  <c r="W106" i="3" s="1"/>
  <c r="S106" i="3"/>
  <c r="T106" i="3" s="1"/>
  <c r="E105" i="3"/>
  <c r="D105" i="4"/>
  <c r="A108" i="4"/>
  <c r="M108" i="3"/>
  <c r="I109" i="4" s="1"/>
  <c r="A108" i="3"/>
  <c r="Q108" i="3"/>
  <c r="P109" i="4" s="1"/>
  <c r="F106" i="3"/>
  <c r="F107" i="4" s="1"/>
  <c r="H105" i="3" l="1"/>
  <c r="E106" i="4" s="1"/>
  <c r="G106" i="3"/>
  <c r="G107" i="4" s="1"/>
  <c r="R109" i="3"/>
  <c r="D108" i="3"/>
  <c r="C109" i="4" s="1"/>
  <c r="A109" i="4"/>
  <c r="A109" i="3"/>
  <c r="Q109" i="3"/>
  <c r="P110" i="4" s="1"/>
  <c r="M109" i="3"/>
  <c r="I110" i="4" s="1"/>
  <c r="F107" i="3"/>
  <c r="F108" i="4" s="1"/>
  <c r="E106" i="3"/>
  <c r="D106" i="4"/>
  <c r="S107" i="3"/>
  <c r="T107" i="3" s="1"/>
  <c r="U107" i="3"/>
  <c r="V107" i="3" s="1"/>
  <c r="W107" i="3" s="1"/>
  <c r="B108" i="4"/>
  <c r="Q109" i="4" s="1"/>
  <c r="G107" i="3" l="1"/>
  <c r="G108" i="4" s="1"/>
  <c r="H106" i="3"/>
  <c r="E107" i="4" s="1"/>
  <c r="R110" i="3"/>
  <c r="D109" i="3"/>
  <c r="C110" i="4" s="1"/>
  <c r="E107" i="3"/>
  <c r="D107" i="4"/>
  <c r="A110" i="4"/>
  <c r="A110" i="3"/>
  <c r="M110" i="3"/>
  <c r="I111" i="4" s="1"/>
  <c r="Q110" i="3"/>
  <c r="P111" i="4" s="1"/>
  <c r="F108" i="3"/>
  <c r="F109" i="4" s="1"/>
  <c r="B109" i="4"/>
  <c r="Q110" i="4" s="1"/>
  <c r="S108" i="3"/>
  <c r="T108" i="3" s="1"/>
  <c r="U108" i="3"/>
  <c r="V108" i="3" s="1"/>
  <c r="W108" i="3" s="1"/>
  <c r="G108" i="3" l="1"/>
  <c r="G109" i="4" s="1"/>
  <c r="H107" i="3"/>
  <c r="E108" i="4" s="1"/>
  <c r="R111" i="3"/>
  <c r="D110" i="3"/>
  <c r="C111" i="4" s="1"/>
  <c r="B110" i="4"/>
  <c r="Q111" i="4" s="1"/>
  <c r="S109" i="3"/>
  <c r="T109" i="3" s="1"/>
  <c r="U109" i="3"/>
  <c r="V109" i="3" s="1"/>
  <c r="W109" i="3" s="1"/>
  <c r="A111" i="3"/>
  <c r="M111" i="3"/>
  <c r="I112" i="4" s="1"/>
  <c r="A111" i="4"/>
  <c r="Q111" i="3"/>
  <c r="P112" i="4" s="1"/>
  <c r="F109" i="3"/>
  <c r="F110" i="4" s="1"/>
  <c r="E108" i="3"/>
  <c r="D108" i="4"/>
  <c r="G109" i="3" l="1"/>
  <c r="G110" i="4" s="1"/>
  <c r="H108" i="3"/>
  <c r="E109" i="4" s="1"/>
  <c r="R112" i="3"/>
  <c r="D111" i="3"/>
  <c r="C112" i="4" s="1"/>
  <c r="D109" i="4"/>
  <c r="E109" i="3"/>
  <c r="A112" i="4"/>
  <c r="A112" i="3"/>
  <c r="D112" i="3" s="1"/>
  <c r="Q112" i="3"/>
  <c r="P113" i="4" s="1"/>
  <c r="M112" i="3"/>
  <c r="I113" i="4" s="1"/>
  <c r="F110" i="3"/>
  <c r="S110" i="3"/>
  <c r="T110" i="3" s="1"/>
  <c r="B111" i="4"/>
  <c r="Q112" i="4" s="1"/>
  <c r="U110" i="3"/>
  <c r="V110" i="3" s="1"/>
  <c r="W110" i="3" s="1"/>
  <c r="G110" i="3" l="1"/>
  <c r="G111" i="4" s="1"/>
  <c r="H109" i="3"/>
  <c r="E110" i="4" s="1"/>
  <c r="B112" i="4"/>
  <c r="Q113" i="4" s="1"/>
  <c r="S111" i="3"/>
  <c r="T111" i="3" s="1"/>
  <c r="U111" i="3"/>
  <c r="V111" i="3" s="1"/>
  <c r="W111" i="3" s="1"/>
  <c r="A113" i="3"/>
  <c r="M113" i="3"/>
  <c r="I114" i="4" s="1"/>
  <c r="C113" i="4"/>
  <c r="A113" i="4"/>
  <c r="F111" i="3"/>
  <c r="F112" i="4" s="1"/>
  <c r="D110" i="4"/>
  <c r="E110" i="3"/>
  <c r="F111" i="4"/>
  <c r="G111" i="3" l="1"/>
  <c r="G112" i="4" s="1"/>
  <c r="H110" i="3"/>
  <c r="E111" i="4" s="1"/>
  <c r="E111" i="3"/>
  <c r="D111" i="4"/>
  <c r="U112" i="3"/>
  <c r="V112" i="3" s="1"/>
  <c r="W112" i="3" s="1"/>
  <c r="B113" i="4"/>
  <c r="S112" i="3"/>
  <c r="T112" i="3" s="1"/>
  <c r="G112" i="3" s="1"/>
  <c r="F112" i="3"/>
  <c r="F113" i="4" s="1"/>
  <c r="G113" i="3" l="1"/>
  <c r="F113" i="3"/>
  <c r="F114" i="4" s="1"/>
  <c r="H112" i="3"/>
  <c r="E113" i="4" s="1"/>
  <c r="G113" i="4"/>
  <c r="H111" i="3"/>
  <c r="E112" i="4" s="1"/>
  <c r="E112" i="3"/>
  <c r="D113" i="4" s="1"/>
  <c r="D112" i="4"/>
  <c r="R113" i="3" l="1"/>
  <c r="H113" i="3"/>
  <c r="E114" i="4" s="1"/>
  <c r="G114" i="4"/>
  <c r="Q113" i="3"/>
  <c r="B47" i="1" s="1"/>
  <c r="Q114" i="4" l="1"/>
  <c r="B46" i="1" s="1"/>
  <c r="B45" i="1" s="1"/>
  <c r="P114" i="4"/>
</calcChain>
</file>

<file path=xl/comments1.xml><?xml version="1.0" encoding="utf-8"?>
<comments xmlns="http://schemas.openxmlformats.org/spreadsheetml/2006/main">
  <authors>
    <author>Safonov Sergii Viktorovych</author>
  </authors>
  <commentList>
    <comment ref="P7" authorId="0" shapeId="0">
      <text>
        <r>
          <rPr>
            <sz val="8"/>
            <color indexed="81"/>
            <rFont val="Tahoma"/>
            <family val="2"/>
            <charset val="204"/>
          </rPr>
          <t>Згідно продукту</t>
        </r>
      </text>
    </comment>
    <comment ref="F9" authorId="0" shapeId="0">
      <text>
        <r>
          <rPr>
            <b/>
            <sz val="8"/>
            <color indexed="81"/>
            <rFont val="Tahoma"/>
            <family val="2"/>
            <charset val="204"/>
          </rPr>
          <t xml:space="preserve">згідно флаєру з умовами кредитування
</t>
        </r>
      </text>
    </comment>
    <comment ref="P9" authorId="0" shapeId="0">
      <text>
        <r>
          <rPr>
            <b/>
            <sz val="8"/>
            <color indexed="81"/>
            <rFont val="Tahoma"/>
            <family val="2"/>
            <charset val="204"/>
          </rPr>
          <t>згідно тарифіф Банку</t>
        </r>
      </text>
    </comment>
    <comment ref="P10" authorId="0" shapeId="0">
      <text>
        <r>
          <rPr>
            <b/>
            <sz val="8"/>
            <color indexed="81"/>
            <rFont val="Tahoma"/>
            <family val="2"/>
            <charset val="204"/>
          </rPr>
          <t>згідно тарифіф Банку</t>
        </r>
      </text>
    </comment>
    <comment ref="P12" authorId="0" shapeId="0">
      <text>
        <r>
          <rPr>
            <b/>
            <sz val="8"/>
            <color indexed="81"/>
            <rFont val="Tahoma"/>
            <family val="2"/>
            <charset val="204"/>
          </rPr>
          <t>Заповнюється у разі наявності, в іншому випадку 0,00</t>
        </r>
      </text>
    </comment>
    <comment ref="P13" authorId="0" shapeId="0">
      <text>
        <r>
          <rPr>
            <b/>
            <sz val="8"/>
            <color indexed="81"/>
            <rFont val="Tahoma"/>
            <family val="2"/>
            <charset val="204"/>
          </rPr>
          <t>Заповнюється у разі наявності, в іншому випадку 0,00</t>
        </r>
      </text>
    </comment>
    <comment ref="P14" authorId="0" shapeId="0">
      <text>
        <r>
          <rPr>
            <b/>
            <sz val="8"/>
            <color indexed="81"/>
            <rFont val="Tahoma"/>
            <family val="2"/>
            <charset val="204"/>
          </rPr>
          <t>згідно обраного продукту</t>
        </r>
      </text>
    </comment>
    <comment ref="P15" authorId="0" shapeId="0">
      <text>
        <r>
          <rPr>
            <b/>
            <sz val="8"/>
            <color indexed="81"/>
            <rFont val="Tahoma"/>
            <family val="2"/>
            <charset val="204"/>
          </rPr>
          <t>згідно обраного продукту</t>
        </r>
      </text>
    </comment>
    <comment ref="P16" authorId="0" shapeId="0">
      <text>
        <r>
          <rPr>
            <b/>
            <sz val="8"/>
            <color indexed="81"/>
            <rFont val="Tahoma"/>
            <family val="2"/>
            <charset val="204"/>
          </rPr>
          <t>Заповнюється у разі наявності, в іншому випадку 0,00</t>
        </r>
      </text>
    </comment>
    <comment ref="P17"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<sst xmlns="http://schemas.openxmlformats.org/spreadsheetml/2006/main" count="615" uniqueCount="535">
  <si>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</si>
  <si>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</si>
  <si>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</si>
  <si>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</si>
  <si>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</si>
  <si>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</si>
  <si>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</si>
  <si>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</si>
  <si>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</si>
  <si>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</si>
  <si>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</si>
  <si>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</si>
  <si>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</si>
  <si>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</si>
  <si>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</si>
  <si>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</si>
  <si>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</si>
  <si>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</si>
  <si>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</si>
  <si>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</si>
  <si>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</si>
  <si>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</si>
  <si>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</si>
  <si>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</si>
  <si>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</si>
  <si>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</si>
  <si>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</si>
  <si>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</si>
  <si>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</si>
  <si>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</si>
  <si>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</si>
  <si>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</si>
  <si>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</si>
  <si>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</si>
  <si>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</si>
  <si>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</si>
  <si>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</si>
  <si>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</si>
  <si>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6. Додаткова інформація</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</si>
  <si>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</si>
  <si>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</si>
  <si>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</si>
  <si>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</si>
  <si>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</si>
  <si>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</si>
  <si>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</si>
  <si>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</si>
  <si>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</si>
  <si>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</si>
  <si>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</si>
  <si>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</si>
  <si>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</si>
  <si>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</si>
  <si>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</si>
  <si>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</si>
  <si>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</si>
  <si>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</si>
  <si>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</si>
  <si>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</si>
  <si>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</si>
  <si>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</si>
  <si>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</si>
  <si>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</si>
  <si>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</si>
  <si>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</si>
  <si>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Реальна відсоткова ставка, %</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</si>
  <si>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</si>
  <si>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</si>
  <si>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</si>
  <si>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</si>
  <si>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</si>
  <si>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</si>
  <si>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</si>
  <si>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Маржа</t>
  </si>
  <si>
    <t>Дата початку плаваючої ставки</t>
  </si>
  <si>
    <t>процентна ставка, яка застосовується при невиконанні зобов'язання щодо повернення кредиту (за кожне порушеня)</t>
  </si>
  <si>
    <t xml:space="preserve"> +3% річних до діючої річної ставки по кредиту</t>
  </si>
  <si>
    <t>ПМ</t>
  </si>
  <si>
    <t>Додаток 1 до договору кредиту №_____ від____________</t>
  </si>
  <si>
    <t>Вартість транспортного засобу в UAH</t>
  </si>
  <si>
    <t>Тарифи Банку при обслуговуванні кредиту:</t>
  </si>
  <si>
    <t>Сума передплати</t>
  </si>
  <si>
    <t>Одноразова комісія за надання кредиту від початкової суми кредиту:</t>
  </si>
  <si>
    <t>Сума кредиту</t>
  </si>
  <si>
    <t>Відсоток передплати</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</si>
  <si>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</si>
  <si>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</si>
  <si>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</si>
  <si>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</si>
  <si>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</si>
  <si>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</si>
  <si>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</si>
  <si>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</si>
  <si>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</si>
  <si>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</si>
  <si>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</si>
  <si>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</si>
  <si>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</si>
  <si>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</si>
  <si>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</si>
  <si>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</si>
  <si>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Всього</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</si>
  <si>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</si>
  <si>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</si>
  <si>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</si>
  <si>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</si>
  <si>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</si>
  <si>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</si>
  <si>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</si>
  <si>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</si>
  <si>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</si>
  <si>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</si>
  <si>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</si>
  <si>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</si>
  <si>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</si>
  <si>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</si>
  <si>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</si>
  <si>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</si>
  <si>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t>Загальна вартість кредиту, грн.</t>
  </si>
  <si>
    <t>Реальна річна процентна ставка, %</t>
  </si>
  <si>
    <t>так</t>
  </si>
  <si>
    <t>Розрахунково-касове обслуговування за весь строк, грн</t>
  </si>
  <si>
    <t xml:space="preserve">Фіксована </t>
  </si>
  <si>
    <t>Розрахунково-касове обслуговування кредиту за весь строк кредиту</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</si>
  <si>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</si>
  <si>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порука (якщо було прийнято відповідне рішення)</t>
  </si>
  <si>
    <t>Послуги третіх осіб</t>
  </si>
  <si>
    <t>Послуги нотаріуса</t>
  </si>
  <si>
    <t>Послуги оцінювача</t>
  </si>
  <si>
    <t>Послуги страховика</t>
  </si>
  <si>
    <t>Інші послуги третіх осіб</t>
  </si>
  <si>
    <t>Комісія банка за зняття коштів, % від суми кредиту</t>
  </si>
  <si>
    <t>Комісія банка за зняття коштів, грн</t>
  </si>
  <si>
    <t>послуги нотаріуса, грн</t>
  </si>
  <si>
    <t>послуги оцінювача,грн</t>
  </si>
  <si>
    <t>послуги страховика,%/грн</t>
  </si>
  <si>
    <t>страхування життя</t>
  </si>
  <si>
    <t>страхування від НВ</t>
  </si>
  <si>
    <t>інші послуги третіх осіб, грн</t>
  </si>
  <si>
    <t>Інші послуги банку, грн</t>
  </si>
  <si>
    <t>пакет "фамільний"</t>
  </si>
  <si>
    <t>Комісія банка за зняття коштів</t>
  </si>
  <si>
    <t>Інші послуги банку</t>
  </si>
  <si>
    <t>Платежі за додаткові та супутні послуги третіх осіб, обов'язкові для укладення договору/отримання кредиту, грн:</t>
  </si>
  <si>
    <t>1. Псолуги нотаріуса</t>
  </si>
  <si>
    <t>2. Посулуги оцінювача</t>
  </si>
  <si>
    <t>3. Послуга страховика</t>
  </si>
  <si>
    <t>4. Інші послуги третіх осіб</t>
  </si>
  <si>
    <t>Послуги третіх осіб:</t>
  </si>
  <si>
    <t>4. Інформація щодо орієнтовної реальної річної процентної ставки та орієнтовної загальної вартості кредиту для споживача</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</si>
  <si>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</si>
  <si>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</si>
  <si>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</si>
  <si>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</si>
  <si>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</si>
  <si>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 xml:space="preserve"> міс.</t>
  </si>
  <si>
    <t>не заповнються у звязку з фіксованим типом ставки</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</si>
  <si>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</si>
  <si>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</si>
  <si>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</si>
  <si>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</si>
  <si>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[зазначаються розмір платежу, база його розрахунку та умови його застосування]</t>
  </si>
  <si>
    <t>штрафи</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</si>
  <si>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</si>
  <si>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</si>
  <si>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</si>
  <si>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</si>
  <si>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</si>
  <si>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</si>
  <si>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</si>
  <si>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</si>
  <si>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</si>
  <si>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</si>
  <si>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</si>
  <si>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</si>
  <si>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</si>
  <si>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</si>
  <si>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</si>
  <si>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</si>
  <si>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</si>
  <si>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</si>
  <si>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</si>
  <si>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</si>
  <si>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</si>
  <si>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</si>
  <si>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</si>
  <si>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</si>
  <si>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</si>
  <si>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</si>
  <si>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</si>
  <si>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</si>
  <si>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</si>
  <si>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</si>
  <si>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</si>
  <si>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</si>
  <si>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</si>
  <si>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</si>
  <si>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</si>
  <si>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</si>
  <si>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</si>
  <si>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</si>
  <si>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</si>
  <si>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</si>
  <si>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</si>
  <si>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</si>
  <si>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</si>
  <si>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</si>
  <si>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</si>
  <si>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</si>
  <si>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</si>
  <si>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</si>
  <si>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</si>
  <si>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</si>
  <si>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</si>
  <si>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</si>
  <si>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</si>
  <si>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</si>
  <si>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</si>
  <si>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</si>
  <si>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</si>
  <si>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</si>
  <si>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</si>
  <si>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</si>
  <si>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</si>
  <si>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</si>
  <si>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</si>
  <si>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</si>
  <si>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</si>
  <si>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</si>
  <si>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</si>
  <si>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</si>
  <si>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</si>
  <si>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</si>
  <si>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</si>
  <si>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</si>
  <si>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</si>
  <si>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</si>
  <si>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</si>
  <si>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</si>
  <si>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</si>
  <si>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</si>
  <si>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</si>
  <si>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</si>
  <si>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</si>
  <si>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</si>
  <si>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</si>
  <si>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</si>
  <si>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</si>
  <si>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</si>
  <si>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</si>
  <si>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</si>
  <si>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</si>
  <si>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</si>
  <si>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</si>
  <si>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</si>
  <si>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</si>
  <si>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</si>
  <si>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</si>
  <si>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</si>
  <si>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</si>
  <si>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</si>
  <si>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</si>
  <si>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</si>
  <si>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</si>
  <si>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</si>
  <si>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</si>
  <si>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</si>
  <si>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</si>
  <si>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</si>
  <si>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</si>
  <si>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</si>
  <si>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</si>
  <si>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</si>
  <si>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</si>
  <si>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</si>
  <si>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</si>
  <si>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</si>
  <si>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</si>
  <si>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</si>
  <si>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</si>
  <si>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</si>
  <si>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</si>
  <si>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</si>
  <si>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</si>
  <si>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</si>
  <si>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</si>
  <si>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</si>
  <si>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</si>
  <si>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</si>
  <si>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</si>
  <si>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</si>
  <si>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</si>
  <si>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</si>
  <si>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</si>
  <si>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</si>
  <si>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</si>
  <si>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</si>
  <si>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</si>
  <si>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</si>
  <si>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</si>
  <si>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</si>
  <si>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</si>
  <si>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</si>
  <si>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</si>
  <si>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</si>
  <si>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</si>
  <si>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</si>
  <si>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</si>
  <si>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</si>
  <si>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</si>
  <si>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</si>
  <si>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</si>
  <si>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</si>
  <si>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</si>
  <si>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</si>
  <si>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</si>
  <si>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</si>
  <si>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</si>
  <si>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</si>
  <si>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</si>
  <si>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</si>
  <si>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</si>
  <si>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</si>
  <si>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</si>
  <si>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</si>
  <si>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</si>
  <si>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</si>
  <si>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</si>
  <si>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</si>
  <si>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</si>
  <si>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</si>
  <si>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</si>
  <si>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</si>
  <si>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</si>
  <si>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</si>
  <si>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</si>
  <si>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</si>
  <si>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</si>
  <si>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</si>
  <si>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</si>
  <si>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</si>
  <si>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</si>
  <si>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</si>
  <si>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</si>
  <si>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</si>
  <si>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</si>
  <si>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</si>
  <si>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</si>
  <si>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</si>
  <si>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</si>
  <si>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</si>
  <si>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</si>
  <si>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</si>
  <si>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</si>
  <si>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</si>
  <si>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</si>
  <si>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</si>
  <si>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</si>
  <si>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</si>
  <si>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</si>
  <si>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</si>
  <si>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</si>
  <si>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</si>
  <si>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</si>
  <si>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</si>
  <si>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</si>
  <si>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</si>
  <si>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</si>
  <si>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</si>
  <si>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</si>
  <si>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</si>
  <si>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</si>
  <si>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</si>
  <si>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</si>
  <si>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</si>
  <si>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</si>
  <si>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</si>
  <si>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</si>
  <si>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</si>
  <si>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</si>
  <si>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</si>
  <si>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</si>
  <si>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</si>
  <si>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</si>
  <si>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</si>
  <si>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</si>
  <si>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</si>
  <si>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</si>
  <si>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</si>
  <si>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</si>
  <si>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</si>
  <si>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</si>
  <si>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</si>
  <si>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</si>
  <si>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</si>
  <si>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</si>
  <si>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</si>
  <si>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</si>
  <si>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</si>
  <si>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</si>
  <si>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</si>
  <si>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</si>
  <si>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</si>
  <si>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</si>
  <si>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</si>
  <si>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</si>
  <si>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</si>
  <si>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</si>
  <si>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</si>
  <si>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</si>
  <si>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</si>
  <si>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</si>
  <si>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</si>
  <si>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</si>
  <si>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</si>
  <si>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</si>
  <si>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</si>
  <si>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</si>
  <si>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</si>
  <si>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</si>
  <si>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</si>
  <si>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</si>
  <si>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</si>
  <si>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</si>
  <si>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</si>
  <si>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</si>
  <si>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</si>
  <si>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</si>
  <si>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</si>
  <si>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</si>
  <si>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</si>
  <si>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</si>
  <si>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</si>
  <si>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</si>
  <si>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</si>
  <si>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</si>
  <si>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</si>
  <si>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</si>
  <si>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</si>
  <si>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</si>
  <si>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</si>
  <si>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</si>
  <si>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</si>
  <si>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</si>
  <si>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</si>
  <si>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</si>
  <si>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</si>
  <si>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</si>
  <si>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</si>
  <si>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</si>
  <si>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</si>
  <si>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</si>
  <si>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</si>
  <si>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</si>
  <si>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</si>
  <si>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</si>
  <si>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</si>
  <si>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</si>
  <si>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</si>
  <si>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</si>
  <si>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</si>
  <si>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</si>
  <si>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</si>
  <si>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</si>
  <si>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</si>
  <si>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</si>
  <si>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</si>
  <si>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</si>
  <si>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</si>
  <si>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</si>
  <si>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</si>
  <si>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</si>
  <si>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</si>
  <si>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</si>
  <si>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</si>
  <si>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</si>
  <si>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</si>
  <si>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</si>
  <si>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</si>
  <si>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</si>
  <si>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</si>
  <si>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</si>
  <si>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</si>
  <si>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</si>
  <si>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</si>
  <si>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</si>
  <si>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</si>
  <si>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</si>
  <si>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</si>
  <si>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</si>
  <si>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</si>
  <si>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</si>
  <si>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</si>
  <si>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</si>
  <si>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</si>
  <si>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</si>
  <si>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</si>
  <si>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</si>
  <si>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</si>
  <si>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</si>
  <si>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</si>
  <si>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</si>
  <si>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</si>
  <si>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</si>
  <si>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</si>
  <si>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</si>
  <si>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</si>
  <si>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</si>
  <si>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</si>
  <si>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</si>
  <si>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</si>
  <si>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</si>
  <si>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</si>
  <si>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</si>
  <si>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</si>
  <si>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</si>
  <si>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</si>
  <si>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</si>
  <si>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</si>
  <si>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</si>
  <si>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</si>
  <si>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</si>
  <si>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</si>
  <si>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</si>
  <si>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</si>
  <si>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</si>
  <si>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</si>
  <si>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</si>
  <si>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Додаток 24 до п. 1. рішення
ЗАТВЕРДЖЕНО
рішенням Голови Правління
АТ «ПРАВЕКС БАНК»
від _._.2020 № ___
</t>
  </si>
  <si>
    <t>Одноразова комісія за надання кредиту, %</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</si>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</sst>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 [$грн.-422]"/>
    <numFmt numFmtId="166" formatCode="#,##0.00&quot;р.&quot;;[Red]\-#,##0.00&quot;р.&quot;"/>
    <numFmt numFmtId="167" formatCode="0.0%"/>
  </numFmts>
  <fonts count="43"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sz val="9"/>
      <color indexed="8"/>
      <name val="Arial Cyr"/>
      <family val="2"/>
      <charset val="204"/>
    </font>
    <font>
      <i/>
      <sz val="9"/>
      <color indexed="8"/>
      <name val="Arial"/>
      <family val="2"/>
      <charset val="204"/>
    </font>
    <font>
      <i/>
      <sz val="9"/>
      <name val="Arial Cyr"/>
      <charset val="204"/>
    </font>
    <font>
      <i/>
      <sz val="9"/>
      <color theme="0"/>
      <name val="Arial"/>
      <family val="2"/>
      <charset val="204"/>
    </font>
    <font>
      <sz val="10"/>
      <color theme="0"/>
      <name val="Arial"/>
      <family val="2"/>
      <charset val="204"/>
    </font>
    <font>
      <sz val="9"/>
      <color theme="0"/>
      <name val="Calibri"/>
      <family val="2"/>
      <charset val="204"/>
      <scheme val="minor"/>
    </font>
    <font>
      <sz val="11"/>
      <name val="Calibri"/>
      <family val="2"/>
      <charset val="204"/>
      <scheme val="minor"/>
    </font>
    <font>
      <sz val="8"/>
      <color indexed="81"/>
      <name val="Tahoma"/>
      <family val="2"/>
      <charset val="204"/>
    </font>
    <font>
      <b/>
      <sz val="8"/>
      <color indexed="81"/>
      <name val="Tahoma"/>
      <family val="2"/>
      <charset val="204"/>
    </font>
    <font>
      <sz val="9"/>
      <name val="Times New Roman"/>
      <family val="1"/>
      <charset val="204"/>
    </font>
    <font>
      <b/>
      <sz val="9"/>
      <name val="Times New Roman"/>
      <family val="1"/>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indexed="64"/>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right/>
      <top style="thin">
        <color theme="4"/>
      </top>
      <bottom style="thin">
        <color theme="4"/>
      </bottom>
      <diagonal/>
    </border>
    <border>
      <left/>
      <right/>
      <top/>
      <bottom style="thin">
        <color theme="4"/>
      </bottom>
      <diagonal/>
    </border>
    <border>
      <left/>
      <right style="thin">
        <color theme="4"/>
      </right>
      <top/>
      <bottom style="thin">
        <color theme="4"/>
      </bottom>
      <diagonal/>
    </border>
    <border>
      <left/>
      <right/>
      <top style="thin">
        <color theme="4"/>
      </top>
      <bottom/>
      <diagonal/>
    </border>
    <border>
      <left style="thin">
        <color theme="4"/>
      </left>
      <right style="thin">
        <color theme="0"/>
      </right>
      <top/>
      <bottom/>
      <diagonal/>
    </border>
    <border>
      <left style="thin">
        <color theme="4"/>
      </left>
      <right/>
      <top style="thin">
        <color theme="4"/>
      </top>
      <bottom/>
      <diagonal/>
    </border>
    <border>
      <left/>
      <right style="thin">
        <color theme="4"/>
      </right>
      <top style="thin">
        <color theme="4"/>
      </top>
      <bottom/>
      <diagonal/>
    </border>
    <border>
      <left style="thin">
        <color rgb="FF009900"/>
      </left>
      <right/>
      <top style="thin">
        <color rgb="FF009900"/>
      </top>
      <bottom style="thin">
        <color rgb="FF009900"/>
      </bottom>
      <diagonal/>
    </border>
    <border>
      <left/>
      <right/>
      <top/>
      <bottom style="thin">
        <color rgb="FF009900"/>
      </bottom>
      <diagonal/>
    </border>
    <border>
      <left/>
      <right/>
      <top style="thin">
        <color rgb="FF009900"/>
      </top>
      <bottom/>
      <diagonal/>
    </border>
    <border>
      <left style="thin">
        <color indexed="8"/>
      </left>
      <right style="thin">
        <color indexed="8"/>
      </right>
      <top/>
      <bottom style="thin">
        <color indexed="64"/>
      </bottom>
      <diagonal/>
    </border>
    <border>
      <left/>
      <right style="thin">
        <color rgb="FF009900"/>
      </right>
      <top style="thin">
        <color rgb="FF009900"/>
      </top>
      <bottom/>
      <diagonal/>
    </border>
    <border>
      <left style="thin">
        <color rgb="FF009900"/>
      </left>
      <right/>
      <top style="thin">
        <color rgb="FF00990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7A00"/>
      </left>
      <right style="thin">
        <color indexed="64"/>
      </right>
      <top style="thin">
        <color rgb="FF007A00"/>
      </top>
      <bottom style="thin">
        <color rgb="FF007A00"/>
      </bottom>
      <diagonal/>
    </border>
    <border>
      <left/>
      <right/>
      <top style="thin">
        <color rgb="FF007A00"/>
      </top>
      <bottom style="thin">
        <color rgb="FF007A00"/>
      </bottom>
      <diagonal/>
    </border>
    <border>
      <left style="thin">
        <color indexed="64"/>
      </left>
      <right style="thin">
        <color rgb="FF007A00"/>
      </right>
      <top style="thin">
        <color rgb="FF007A00"/>
      </top>
      <bottom style="thin">
        <color rgb="FF007A00"/>
      </bottom>
      <diagonal/>
    </border>
    <border>
      <left style="thin">
        <color rgb="FF007A00"/>
      </left>
      <right/>
      <top style="thin">
        <color rgb="FF007A00"/>
      </top>
      <bottom style="thin">
        <color rgb="FF007A00"/>
      </bottom>
      <diagonal/>
    </border>
    <border>
      <left/>
      <right style="thin">
        <color rgb="FF007A00"/>
      </right>
      <top style="thin">
        <color rgb="FF007A00"/>
      </top>
      <bottom style="thin">
        <color rgb="FF007A00"/>
      </bottom>
      <diagonal/>
    </border>
    <border>
      <left style="thin">
        <color rgb="FF007A00"/>
      </left>
      <right/>
      <top style="thin">
        <color rgb="FF007A00"/>
      </top>
      <bottom/>
      <diagonal/>
    </border>
    <border>
      <left style="thin">
        <color rgb="FF007A00"/>
      </left>
      <right/>
      <top/>
      <bottom/>
      <diagonal/>
    </border>
    <border>
      <left style="thin">
        <color rgb="FF007A00"/>
      </left>
      <right/>
      <top/>
      <bottom style="thin">
        <color rgb="FF007A00"/>
      </bottom>
      <diagonal/>
    </border>
    <border>
      <left/>
      <right style="thin">
        <color rgb="FF009900"/>
      </right>
      <top/>
      <bottom/>
      <diagonal/>
    </border>
    <border>
      <left style="thin">
        <color indexed="64"/>
      </left>
      <right style="thin">
        <color rgb="FF009900"/>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rgb="FF009900"/>
      </top>
      <bottom/>
      <diagonal/>
    </border>
    <border>
      <left/>
      <right style="thin">
        <color indexed="64"/>
      </right>
      <top style="thin">
        <color rgb="FF009900"/>
      </top>
      <bottom/>
      <diagonal/>
    </border>
    <border>
      <left style="thin">
        <color indexed="64"/>
      </left>
      <right/>
      <top style="thin">
        <color rgb="FF009900"/>
      </top>
      <bottom style="thin">
        <color indexed="64"/>
      </bottom>
      <diagonal/>
    </border>
    <border>
      <left style="thin">
        <color rgb="FF009900"/>
      </left>
      <right/>
      <top style="thin">
        <color rgb="FF009900"/>
      </top>
      <bottom style="thin">
        <color indexed="64"/>
      </bottom>
      <diagonal/>
    </border>
    <border>
      <left/>
      <right style="thin">
        <color indexed="64"/>
      </right>
      <top style="thin">
        <color rgb="FF009900"/>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8"/>
      </right>
      <top style="thin">
        <color indexed="64"/>
      </top>
      <bottom/>
      <diagonal/>
    </border>
    <border>
      <left/>
      <right style="thin">
        <color indexed="64"/>
      </right>
      <top/>
      <bottom/>
      <diagonal/>
    </border>
    <border>
      <left style="thin">
        <color indexed="64"/>
      </left>
      <right/>
      <top style="thin">
        <color rgb="FF007A00"/>
      </top>
      <bottom style="thin">
        <color rgb="FF007A00"/>
      </bottom>
      <diagonal/>
    </border>
    <border>
      <left/>
      <right style="thin">
        <color indexed="64"/>
      </right>
      <top style="thin">
        <color rgb="FF007A00"/>
      </top>
      <bottom style="thin">
        <color rgb="FF007A00"/>
      </bottom>
      <diagonal/>
    </border>
    <border>
      <left style="thin">
        <color indexed="64"/>
      </left>
      <right/>
      <top style="thin">
        <color rgb="FF007A00"/>
      </top>
      <bottom/>
      <diagonal/>
    </border>
    <border>
      <left/>
      <right style="thin">
        <color indexed="64"/>
      </right>
      <top style="thin">
        <color rgb="FF007A00"/>
      </top>
      <bottom/>
      <diagonal/>
    </border>
    <border>
      <left style="thin">
        <color indexed="64"/>
      </left>
      <right/>
      <top style="thin">
        <color rgb="FF007A00"/>
      </top>
      <bottom style="thin">
        <color indexed="64"/>
      </bottom>
      <diagonal/>
    </border>
    <border>
      <left/>
      <right style="thin">
        <color indexed="64"/>
      </right>
      <top style="thin">
        <color rgb="FF007A00"/>
      </top>
      <bottom style="thin">
        <color indexed="64"/>
      </bottom>
      <diagonal/>
    </border>
    <border>
      <left style="thin">
        <color indexed="64"/>
      </left>
      <right/>
      <top style="thin">
        <color indexed="64"/>
      </top>
      <bottom style="thin">
        <color rgb="FF007A00"/>
      </bottom>
      <diagonal/>
    </border>
    <border>
      <left/>
      <right style="thin">
        <color indexed="64"/>
      </right>
      <top style="thin">
        <color indexed="64"/>
      </top>
      <bottom style="thin">
        <color rgb="FF007A00"/>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329">
    <xf numFmtId="0" fontId="0" fillId="0" borderId="0" xfId="0"/>
    <xf numFmtId="0" fontId="0" fillId="0" borderId="0" xfId="0"/>
    <xf numFmtId="0" fontId="0" fillId="0" borderId="0" xfId="0"/>
    <xf numFmtId="0" fontId="0" fillId="0" borderId="0" xfId="0"/>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10" fontId="0" fillId="0" borderId="0" xfId="0" applyNumberFormat="1" applyFill="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22" fillId="0" borderId="0" xfId="0" applyFont="1" applyAlignment="1" applyProtection="1">
      <alignment horizontal="left" wrapText="1"/>
      <protection hidden="1"/>
    </xf>
    <xf numFmtId="0" fontId="19" fillId="0" borderId="0" xfId="1" applyFont="1" applyAlignment="1" applyProtection="1">
      <alignment horizontal="right"/>
      <protection hidden="1"/>
    </xf>
    <xf numFmtId="0" fontId="19"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5" fillId="4" borderId="19" xfId="1" applyFont="1" applyFill="1" applyBorder="1" applyAlignment="1" applyProtection="1">
      <alignment horizontal="center" vertical="center" wrapText="1"/>
      <protection hidden="1"/>
    </xf>
    <xf numFmtId="0" fontId="25" fillId="4" borderId="0" xfId="1" applyFont="1" applyFill="1" applyBorder="1" applyAlignment="1" applyProtection="1">
      <alignment horizontal="center" vertical="center" wrapText="1"/>
      <protection hidden="1"/>
    </xf>
    <xf numFmtId="0" fontId="23" fillId="4" borderId="19" xfId="1" applyFont="1" applyFill="1" applyBorder="1" applyAlignment="1" applyProtection="1">
      <alignment horizontal="center" vertical="center" wrapText="1"/>
      <protection hidden="1"/>
    </xf>
    <xf numFmtId="0" fontId="0" fillId="0" borderId="0" xfId="0" applyProtection="1">
      <protection hidden="1"/>
    </xf>
    <xf numFmtId="0" fontId="26" fillId="2" borderId="11" xfId="1" applyFont="1" applyFill="1" applyBorder="1" applyProtection="1">
      <protection hidden="1"/>
    </xf>
    <xf numFmtId="14" fontId="27" fillId="2" borderId="11" xfId="1" applyNumberFormat="1" applyFont="1" applyFill="1" applyBorder="1" applyAlignment="1" applyProtection="1">
      <alignment horizontal="center"/>
      <protection hidden="1"/>
    </xf>
    <xf numFmtId="0" fontId="27" fillId="2" borderId="11" xfId="1" applyNumberFormat="1" applyFont="1" applyFill="1" applyBorder="1" applyAlignment="1" applyProtection="1">
      <alignment horizontal="center"/>
      <protection hidden="1"/>
    </xf>
    <xf numFmtId="165" fontId="26" fillId="2" borderId="11" xfId="1" applyNumberFormat="1" applyFont="1" applyFill="1" applyBorder="1" applyAlignment="1" applyProtection="1">
      <alignment horizontal="center" vertical="center"/>
      <protection hidden="1"/>
    </xf>
    <xf numFmtId="165" fontId="26" fillId="2" borderId="11" xfId="1" applyNumberFormat="1" applyFont="1" applyFill="1" applyBorder="1" applyAlignment="1" applyProtection="1">
      <alignment horizontal="center" vertical="center" wrapText="1"/>
      <protection hidden="1"/>
    </xf>
    <xf numFmtId="10" fontId="26" fillId="2" borderId="11" xfId="1" applyNumberFormat="1" applyFont="1" applyFill="1" applyBorder="1" applyAlignment="1" applyProtection="1">
      <alignment horizontal="center" vertical="center" wrapText="1"/>
      <protection hidden="1"/>
    </xf>
    <xf numFmtId="14" fontId="0" fillId="0" borderId="11" xfId="0" applyNumberFormat="1" applyFill="1" applyBorder="1" applyAlignment="1">
      <alignment horizontal="center"/>
    </xf>
    <xf numFmtId="165" fontId="28" fillId="2" borderId="11" xfId="1" applyNumberFormat="1" applyFont="1" applyFill="1" applyBorder="1" applyAlignment="1" applyProtection="1">
      <alignment horizontal="center" vertical="center" wrapText="1"/>
      <protection hidden="1"/>
    </xf>
    <xf numFmtId="0" fontId="28" fillId="2" borderId="11" xfId="1" applyNumberFormat="1" applyFont="1" applyFill="1" applyBorder="1" applyAlignment="1" applyProtection="1">
      <alignment horizontal="center" vertical="center" wrapText="1"/>
      <protection hidden="1"/>
    </xf>
    <xf numFmtId="4" fontId="11" fillId="0" borderId="0" xfId="0" applyNumberFormat="1" applyFont="1" applyFill="1" applyBorder="1" applyAlignment="1">
      <alignment horizontal="center"/>
    </xf>
    <xf numFmtId="167" fontId="0" fillId="0" borderId="0" xfId="0" applyNumberFormat="1" applyFill="1" applyBorder="1" applyAlignment="1">
      <alignment horizontal="center"/>
    </xf>
    <xf numFmtId="14" fontId="0" fillId="0" borderId="0" xfId="0" applyNumberFormat="1"/>
    <xf numFmtId="167" fontId="26" fillId="2" borderId="11" xfId="1" applyNumberFormat="1" applyFont="1" applyFill="1" applyBorder="1" applyAlignment="1" applyProtection="1">
      <alignment horizontal="center" vertical="center" wrapText="1"/>
      <protection hidden="1"/>
    </xf>
    <xf numFmtId="14" fontId="0" fillId="2" borderId="25" xfId="0" applyNumberFormat="1" applyFill="1" applyBorder="1"/>
    <xf numFmtId="4" fontId="0" fillId="0" borderId="0" xfId="0" applyNumberFormat="1" applyFill="1" applyBorder="1" applyProtection="1">
      <protection locked="0"/>
    </xf>
    <xf numFmtId="0" fontId="0" fillId="2" borderId="26" xfId="0" applyFill="1" applyBorder="1"/>
    <xf numFmtId="4" fontId="11" fillId="2" borderId="12" xfId="0" applyNumberFormat="1" applyFont="1" applyFill="1" applyBorder="1"/>
    <xf numFmtId="14" fontId="0" fillId="2" borderId="27" xfId="0" applyNumberFormat="1" applyFill="1" applyBorder="1"/>
    <xf numFmtId="0" fontId="11" fillId="2" borderId="0" xfId="0" applyFont="1" applyFill="1"/>
    <xf numFmtId="10" fontId="11" fillId="2" borderId="0" xfId="0" applyNumberFormat="1" applyFont="1" applyFill="1"/>
    <xf numFmtId="4" fontId="0" fillId="0" borderId="0" xfId="0" applyNumberFormat="1" applyFill="1" applyBorder="1"/>
    <xf numFmtId="0" fontId="29" fillId="0" borderId="0" xfId="1" applyFont="1" applyFill="1" applyAlignment="1" applyProtection="1">
      <alignment vertical="center"/>
      <protection hidden="1"/>
    </xf>
    <xf numFmtId="0" fontId="9" fillId="2" borderId="29" xfId="0" applyFont="1" applyFill="1" applyBorder="1" applyAlignment="1" applyProtection="1">
      <alignment horizontal="left" wrapText="1"/>
      <protection hidden="1"/>
    </xf>
    <xf numFmtId="0" fontId="0" fillId="2" borderId="29" xfId="0" applyFill="1" applyBorder="1"/>
    <xf numFmtId="0" fontId="12" fillId="2" borderId="25" xfId="0" applyFont="1" applyFill="1" applyBorder="1"/>
    <xf numFmtId="0" fontId="0" fillId="2" borderId="36" xfId="0" applyFill="1" applyBorder="1"/>
    <xf numFmtId="10" fontId="11" fillId="2" borderId="13" xfId="0" applyNumberFormat="1" applyFont="1" applyFill="1" applyBorder="1" applyProtection="1"/>
    <xf numFmtId="4" fontId="11" fillId="2" borderId="17" xfId="0" applyNumberFormat="1" applyFont="1" applyFill="1" applyBorder="1"/>
    <xf numFmtId="0" fontId="9" fillId="2" borderId="0" xfId="0" applyFont="1" applyFill="1" applyBorder="1" applyAlignment="1" applyProtection="1">
      <alignment horizontal="left" wrapText="1"/>
      <protection hidden="1"/>
    </xf>
    <xf numFmtId="0" fontId="0" fillId="2" borderId="41" xfId="0" applyFill="1" applyBorder="1"/>
    <xf numFmtId="0" fontId="0" fillId="2" borderId="43" xfId="0" applyFill="1" applyBorder="1"/>
    <xf numFmtId="0" fontId="0" fillId="2" borderId="38" xfId="0" applyFill="1" applyBorder="1"/>
    <xf numFmtId="0" fontId="0" fillId="2" borderId="15" xfId="0" applyFill="1" applyBorder="1"/>
    <xf numFmtId="0" fontId="0" fillId="2" borderId="44" xfId="0" applyFill="1" applyBorder="1"/>
    <xf numFmtId="10" fontId="11" fillId="2" borderId="37" xfId="0" applyNumberFormat="1" applyFont="1" applyFill="1" applyBorder="1" applyProtection="1">
      <protection locked="0"/>
    </xf>
    <xf numFmtId="10" fontId="0" fillId="2" borderId="40" xfId="0" applyNumberFormat="1" applyFill="1" applyBorder="1" applyProtection="1">
      <protection locked="0"/>
    </xf>
    <xf numFmtId="0" fontId="0" fillId="2" borderId="45" xfId="0" applyFill="1" applyBorder="1"/>
    <xf numFmtId="10" fontId="0" fillId="2" borderId="46" xfId="0" applyNumberFormat="1" applyFill="1" applyBorder="1"/>
    <xf numFmtId="0" fontId="0" fillId="0" borderId="37" xfId="0" applyFont="1" applyFill="1" applyBorder="1"/>
    <xf numFmtId="0" fontId="0" fillId="0" borderId="39" xfId="0" applyFont="1" applyFill="1" applyBorder="1"/>
    <xf numFmtId="0" fontId="0" fillId="0" borderId="42" xfId="0" applyFont="1" applyFill="1" applyBorder="1"/>
    <xf numFmtId="0" fontId="9" fillId="2" borderId="48"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9" fillId="2" borderId="33" xfId="0" applyFont="1" applyFill="1" applyBorder="1" applyAlignment="1" applyProtection="1">
      <alignment wrapText="1"/>
      <protection hidden="1"/>
    </xf>
    <xf numFmtId="10" fontId="20" fillId="2" borderId="11" xfId="1" applyNumberFormat="1" applyFont="1" applyFill="1" applyBorder="1" applyAlignment="1" applyProtection="1">
      <alignment horizontal="center" vertical="center" wrapText="1"/>
      <protection hidden="1"/>
    </xf>
    <xf numFmtId="10" fontId="20" fillId="2" borderId="11" xfId="1" applyNumberFormat="1" applyFont="1" applyFill="1" applyBorder="1" applyAlignment="1" applyProtection="1">
      <alignment horizontal="center" vertical="center"/>
      <protection hidden="1"/>
    </xf>
    <xf numFmtId="0" fontId="0" fillId="3" borderId="0" xfId="0" applyFill="1" applyBorder="1" applyAlignment="1">
      <alignment horizontal="left"/>
    </xf>
    <xf numFmtId="0" fontId="10" fillId="5" borderId="35"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32" xfId="0" applyFont="1" applyFill="1" applyBorder="1" applyAlignment="1" applyProtection="1">
      <alignment horizontal="center" vertical="center" wrapText="1"/>
      <protection hidden="1"/>
    </xf>
    <xf numFmtId="0" fontId="10" fillId="5" borderId="33" xfId="0" applyFont="1" applyFill="1" applyBorder="1" applyAlignment="1" applyProtection="1">
      <alignment horizontal="center" vertical="center" wrapText="1"/>
      <protection hidden="1"/>
    </xf>
    <xf numFmtId="0" fontId="10" fillId="5" borderId="30"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4" fontId="11" fillId="2" borderId="51" xfId="0" applyNumberFormat="1" applyFont="1" applyFill="1" applyBorder="1"/>
    <xf numFmtId="0" fontId="20" fillId="2" borderId="0" xfId="1" applyFont="1" applyFill="1" applyBorder="1" applyAlignment="1" applyProtection="1">
      <alignment horizontal="center" vertical="center"/>
      <protection hidden="1"/>
    </xf>
    <xf numFmtId="10" fontId="20" fillId="2" borderId="0" xfId="1" applyNumberFormat="1" applyFont="1" applyFill="1" applyBorder="1" applyAlignment="1" applyProtection="1">
      <alignment horizontal="center" vertical="center"/>
      <protection hidden="1"/>
    </xf>
    <xf numFmtId="0" fontId="1" fillId="2" borderId="52" xfId="0" applyFont="1" applyFill="1" applyBorder="1" applyAlignment="1">
      <alignment horizontal="left"/>
    </xf>
    <xf numFmtId="10" fontId="0" fillId="0" borderId="52" xfId="0" applyNumberFormat="1" applyFill="1" applyBorder="1" applyProtection="1">
      <protection locked="0"/>
    </xf>
    <xf numFmtId="0" fontId="1" fillId="2" borderId="52" xfId="0" applyFont="1" applyFill="1" applyBorder="1" applyAlignment="1">
      <alignment horizontal="left"/>
    </xf>
    <xf numFmtId="0" fontId="0" fillId="3" borderId="0" xfId="0" applyFill="1" applyBorder="1" applyAlignment="1">
      <alignment horizontal="left"/>
    </xf>
    <xf numFmtId="10" fontId="11" fillId="2" borderId="0" xfId="0" applyNumberFormat="1" applyFont="1" applyFill="1" applyBorder="1" applyProtection="1">
      <protection locked="0"/>
    </xf>
    <xf numFmtId="10" fontId="0" fillId="2" borderId="0" xfId="0" applyNumberFormat="1" applyFill="1" applyBorder="1" applyProtection="1">
      <protection locked="0"/>
    </xf>
    <xf numFmtId="10" fontId="11" fillId="2" borderId="0" xfId="0" applyNumberFormat="1" applyFont="1" applyFill="1" applyBorder="1"/>
    <xf numFmtId="0" fontId="0" fillId="0" borderId="0" xfId="0" applyFill="1" applyBorder="1" applyAlignment="1">
      <alignment horizontal="left"/>
    </xf>
    <xf numFmtId="4" fontId="0" fillId="0" borderId="0" xfId="0" applyNumberFormat="1" applyFill="1" applyBorder="1" applyAlignment="1" applyProtection="1">
      <alignment horizontal="center"/>
      <protection locked="0"/>
    </xf>
    <xf numFmtId="0" fontId="0" fillId="0" borderId="0" xfId="0" applyFont="1" applyFill="1" applyBorder="1" applyAlignment="1" applyProtection="1">
      <alignment horizontal="left" wrapText="1"/>
      <protection hidden="1"/>
    </xf>
    <xf numFmtId="0" fontId="0" fillId="0" borderId="53" xfId="0" applyFill="1" applyBorder="1" applyAlignment="1">
      <alignment horizontal="left"/>
    </xf>
    <xf numFmtId="0" fontId="9" fillId="0" borderId="0" xfId="0" applyFont="1" applyFill="1" applyBorder="1" applyAlignment="1" applyProtection="1">
      <alignment horizontal="left" wrapText="1"/>
      <protection hidden="1"/>
    </xf>
    <xf numFmtId="0" fontId="0" fillId="2" borderId="60" xfId="0" applyFill="1" applyBorder="1" applyAlignment="1">
      <alignment horizontal="left"/>
    </xf>
    <xf numFmtId="0" fontId="0" fillId="2" borderId="62" xfId="0" applyFill="1" applyBorder="1" applyAlignment="1"/>
    <xf numFmtId="0" fontId="0" fillId="0" borderId="60" xfId="0" applyBorder="1" applyAlignment="1"/>
    <xf numFmtId="0" fontId="0" fillId="0" borderId="63" xfId="0" applyBorder="1" applyAlignment="1"/>
    <xf numFmtId="0" fontId="0" fillId="2" borderId="64" xfId="0" applyFill="1" applyBorder="1" applyAlignment="1"/>
    <xf numFmtId="0" fontId="11" fillId="0" borderId="33" xfId="0" applyFont="1" applyFill="1" applyBorder="1" applyAlignment="1" applyProtection="1">
      <alignment horizontal="left" wrapText="1"/>
      <protection hidden="1"/>
    </xf>
    <xf numFmtId="0" fontId="11" fillId="0" borderId="0" xfId="0" applyFont="1" applyFill="1" applyBorder="1" applyAlignment="1" applyProtection="1">
      <alignment horizontal="left" wrapText="1"/>
      <protection hidden="1"/>
    </xf>
    <xf numFmtId="0" fontId="30" fillId="0" borderId="0" xfId="0" applyFont="1" applyFill="1" applyBorder="1" applyAlignment="1" applyProtection="1">
      <alignment horizontal="left" wrapText="1"/>
      <protection hidden="1"/>
    </xf>
    <xf numFmtId="4" fontId="11" fillId="0" borderId="0" xfId="0" applyNumberFormat="1" applyFont="1" applyFill="1" applyBorder="1" applyProtection="1">
      <protection locked="0"/>
    </xf>
    <xf numFmtId="0" fontId="30" fillId="0" borderId="0" xfId="0" applyFont="1" applyFill="1" applyBorder="1" applyAlignment="1" applyProtection="1">
      <alignment wrapText="1"/>
      <protection hidden="1"/>
    </xf>
    <xf numFmtId="4" fontId="11" fillId="0" borderId="0" xfId="0" applyNumberFormat="1" applyFont="1" applyFill="1" applyBorder="1"/>
    <xf numFmtId="0" fontId="9" fillId="0" borderId="0" xfId="0" applyFont="1" applyFill="1" applyBorder="1" applyAlignment="1" applyProtection="1">
      <alignment wrapText="1"/>
      <protection hidden="1"/>
    </xf>
    <xf numFmtId="0" fontId="0" fillId="0" borderId="0" xfId="0" applyFont="1" applyFill="1" applyBorder="1"/>
    <xf numFmtId="0" fontId="1" fillId="2" borderId="0" xfId="0" applyFont="1" applyFill="1" applyBorder="1"/>
    <xf numFmtId="0" fontId="8" fillId="2" borderId="67" xfId="1" applyFont="1" applyFill="1" applyBorder="1" applyAlignment="1" applyProtection="1">
      <alignment horizontal="left"/>
      <protection locked="0" hidden="1"/>
    </xf>
    <xf numFmtId="10" fontId="11" fillId="2" borderId="67" xfId="0" applyNumberFormat="1" applyFont="1" applyFill="1" applyBorder="1"/>
    <xf numFmtId="0" fontId="0" fillId="0" borderId="11" xfId="0" applyFont="1" applyFill="1" applyBorder="1"/>
    <xf numFmtId="0" fontId="0" fillId="0" borderId="68" xfId="0" applyFont="1" applyFill="1" applyBorder="1"/>
    <xf numFmtId="14" fontId="11" fillId="2" borderId="43" xfId="0" applyNumberFormat="1" applyFont="1" applyFill="1" applyBorder="1"/>
    <xf numFmtId="0" fontId="0" fillId="0" borderId="25" xfId="0" applyFont="1" applyFill="1" applyBorder="1"/>
    <xf numFmtId="4" fontId="0" fillId="2" borderId="24" xfId="0" applyNumberFormat="1" applyFill="1" applyBorder="1" applyProtection="1">
      <protection locked="0"/>
    </xf>
    <xf numFmtId="4" fontId="0" fillId="2" borderId="16" xfId="0" applyNumberFormat="1" applyFill="1" applyBorder="1" applyProtection="1">
      <protection locked="0"/>
    </xf>
    <xf numFmtId="0" fontId="0" fillId="0" borderId="14" xfId="0" applyFont="1" applyFill="1" applyBorder="1"/>
    <xf numFmtId="10" fontId="0" fillId="2" borderId="23" xfId="0" applyNumberFormat="1" applyFill="1" applyBorder="1" applyProtection="1"/>
    <xf numFmtId="0" fontId="0" fillId="0" borderId="70" xfId="0" applyFont="1" applyFill="1" applyBorder="1"/>
    <xf numFmtId="0" fontId="0" fillId="0" borderId="72" xfId="0" applyFont="1" applyFill="1" applyBorder="1"/>
    <xf numFmtId="10" fontId="11" fillId="2" borderId="73" xfId="0" applyNumberFormat="1" applyFont="1" applyFill="1" applyBorder="1" applyProtection="1">
      <protection locked="0"/>
    </xf>
    <xf numFmtId="4" fontId="0" fillId="6" borderId="71" xfId="0" applyNumberFormat="1" applyFill="1" applyBorder="1" applyProtection="1">
      <protection locked="0"/>
    </xf>
    <xf numFmtId="0" fontId="0" fillId="6" borderId="71" xfId="0" applyFill="1" applyBorder="1" applyProtection="1">
      <protection locked="0"/>
    </xf>
    <xf numFmtId="4" fontId="31" fillId="0" borderId="0" xfId="0" applyNumberFormat="1" applyFont="1" applyFill="1" applyBorder="1" applyAlignment="1">
      <alignment horizontal="center"/>
    </xf>
    <xf numFmtId="4" fontId="11" fillId="2" borderId="0" xfId="0" applyNumberFormat="1" applyFont="1" applyFill="1" applyBorder="1"/>
    <xf numFmtId="0" fontId="11" fillId="2" borderId="0" xfId="0" applyFont="1" applyFill="1" applyBorder="1"/>
    <xf numFmtId="165" fontId="26" fillId="2" borderId="12" xfId="1" applyNumberFormat="1" applyFont="1" applyFill="1" applyBorder="1" applyAlignment="1" applyProtection="1">
      <alignment horizontal="center" vertical="center" wrapText="1"/>
      <protection hidden="1"/>
    </xf>
    <xf numFmtId="165" fontId="28" fillId="2" borderId="12" xfId="1" applyNumberFormat="1" applyFont="1" applyFill="1" applyBorder="1" applyAlignment="1" applyProtection="1">
      <alignment horizontal="center" vertical="center" wrapText="1"/>
      <protection hidden="1"/>
    </xf>
    <xf numFmtId="0" fontId="23" fillId="4" borderId="27" xfId="1" applyFont="1" applyFill="1" applyBorder="1" applyAlignment="1" applyProtection="1">
      <alignment horizontal="center" vertical="center" wrapText="1"/>
      <protection hidden="1"/>
    </xf>
    <xf numFmtId="10" fontId="28" fillId="2" borderId="16" xfId="1" applyNumberFormat="1" applyFont="1" applyFill="1" applyBorder="1" applyAlignment="1" applyProtection="1">
      <alignment horizontal="center" vertical="center" wrapText="1"/>
      <protection hidden="1"/>
    </xf>
    <xf numFmtId="167" fontId="26" fillId="2" borderId="16" xfId="1" applyNumberFormat="1" applyFont="1" applyFill="1" applyBorder="1" applyAlignment="1" applyProtection="1">
      <alignment horizontal="center" vertical="center" wrapText="1"/>
      <protection hidden="1"/>
    </xf>
    <xf numFmtId="0" fontId="23" fillId="4" borderId="17" xfId="1" applyFont="1" applyFill="1" applyBorder="1" applyAlignment="1" applyProtection="1">
      <alignment horizontal="center" vertical="center" wrapText="1"/>
      <protection hidden="1"/>
    </xf>
    <xf numFmtId="0" fontId="23" fillId="4" borderId="24" xfId="1" applyFont="1" applyFill="1" applyBorder="1" applyAlignment="1" applyProtection="1">
      <alignment horizontal="center" vertical="center" wrapText="1"/>
      <protection hidden="1"/>
    </xf>
    <xf numFmtId="14" fontId="16" fillId="0" borderId="0" xfId="1" applyNumberFormat="1" applyFont="1" applyBorder="1" applyProtection="1">
      <protection hidden="1"/>
    </xf>
    <xf numFmtId="0" fontId="16" fillId="0" borderId="0" xfId="1" applyFont="1" applyBorder="1" applyAlignment="1" applyProtection="1">
      <alignment horizontal="left"/>
      <protection hidden="1"/>
    </xf>
    <xf numFmtId="0" fontId="16" fillId="0" borderId="34" xfId="1" applyFont="1" applyFill="1" applyBorder="1" applyAlignment="1" applyProtection="1">
      <alignment horizontal="right"/>
      <protection hidden="1"/>
    </xf>
    <xf numFmtId="0" fontId="8" fillId="0" borderId="77" xfId="1" applyFont="1" applyFill="1" applyBorder="1" applyAlignment="1" applyProtection="1">
      <alignment vertical="center" wrapText="1"/>
      <protection locked="0" hidden="1"/>
    </xf>
    <xf numFmtId="0" fontId="23" fillId="4" borderId="25" xfId="1" applyFont="1" applyFill="1" applyBorder="1" applyAlignment="1" applyProtection="1">
      <alignment horizontal="center" vertical="center" wrapText="1"/>
      <protection hidden="1"/>
    </xf>
    <xf numFmtId="165" fontId="8" fillId="0" borderId="11" xfId="1" applyNumberFormat="1" applyFont="1" applyFill="1" applyBorder="1" applyAlignment="1" applyProtection="1">
      <alignment horizontal="center" vertical="center" wrapText="1"/>
      <protection locked="0" hidden="1"/>
    </xf>
    <xf numFmtId="0" fontId="0" fillId="2" borderId="0" xfId="0" applyFill="1" applyBorder="1" applyProtection="1">
      <protection locked="0"/>
    </xf>
    <xf numFmtId="14" fontId="0" fillId="2" borderId="69" xfId="0" applyNumberFormat="1" applyFill="1" applyBorder="1" applyProtection="1"/>
    <xf numFmtId="4" fontId="11" fillId="2" borderId="0" xfId="0" applyNumberFormat="1" applyFont="1" applyFill="1"/>
    <xf numFmtId="0" fontId="4" fillId="2" borderId="6"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3" xfId="0" applyFont="1" applyFill="1" applyBorder="1" applyAlignment="1">
      <alignment vertical="center" wrapText="1"/>
    </xf>
    <xf numFmtId="0" fontId="34" fillId="2" borderId="1" xfId="0" applyFont="1" applyFill="1" applyBorder="1" applyAlignment="1">
      <alignment horizontal="left" vertical="center" wrapText="1"/>
    </xf>
    <xf numFmtId="4"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justify" vertical="center" wrapText="1"/>
    </xf>
    <xf numFmtId="10" fontId="2" fillId="2" borderId="5" xfId="0" applyNumberFormat="1" applyFont="1" applyFill="1" applyBorder="1" applyAlignment="1">
      <alignment horizontal="center" vertical="center" wrapText="1"/>
    </xf>
    <xf numFmtId="0" fontId="34" fillId="2" borderId="5" xfId="0" applyFont="1" applyFill="1" applyBorder="1" applyAlignment="1">
      <alignment horizontal="center" vertical="center" wrapText="1"/>
    </xf>
    <xf numFmtId="2" fontId="2" fillId="2" borderId="5" xfId="0" applyNumberFormat="1" applyFont="1" applyFill="1" applyBorder="1" applyAlignment="1">
      <alignment horizontal="center" vertical="center" wrapText="1"/>
    </xf>
    <xf numFmtId="0" fontId="2" fillId="2" borderId="4" xfId="0" applyFont="1" applyFill="1" applyBorder="1" applyAlignment="1">
      <alignment horizontal="justify" vertical="center" wrapText="1"/>
    </xf>
    <xf numFmtId="4" fontId="2" fillId="2" borderId="6" xfId="0" applyNumberFormat="1" applyFont="1" applyFill="1" applyBorder="1" applyAlignment="1">
      <alignment horizontal="center" vertical="center" wrapText="1"/>
    </xf>
    <xf numFmtId="0" fontId="34" fillId="2" borderId="3" xfId="0" applyFont="1" applyFill="1" applyBorder="1" applyAlignment="1">
      <alignment horizontal="justify" vertical="center" wrapText="1"/>
    </xf>
    <xf numFmtId="167" fontId="2" fillId="2" borderId="5"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75" xfId="0" applyFont="1" applyFill="1" applyBorder="1" applyAlignment="1">
      <alignment horizontal="center" vertical="center" wrapText="1"/>
    </xf>
    <xf numFmtId="0" fontId="2" fillId="2" borderId="75"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7" fillId="7" borderId="11" xfId="0" applyFont="1" applyFill="1" applyBorder="1" applyAlignment="1">
      <alignment horizontal="center" vertical="center" wrapText="1"/>
    </xf>
    <xf numFmtId="14" fontId="31" fillId="7" borderId="11" xfId="0" applyNumberFormat="1" applyFont="1" applyFill="1" applyBorder="1" applyAlignment="1">
      <alignment horizontal="center" vertical="center" wrapText="1"/>
    </xf>
    <xf numFmtId="14" fontId="37" fillId="7" borderId="11" xfId="0" applyNumberFormat="1" applyFont="1" applyFill="1" applyBorder="1" applyAlignment="1">
      <alignment horizontal="center" vertical="center" wrapText="1"/>
    </xf>
    <xf numFmtId="0" fontId="31" fillId="7" borderId="11"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7" fillId="0" borderId="11"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0" borderId="11" xfId="0" applyFont="1" applyFill="1" applyBorder="1" applyAlignment="1">
      <alignment horizontal="center" vertical="top" wrapText="1"/>
    </xf>
    <xf numFmtId="0" fontId="36" fillId="0" borderId="11" xfId="0" applyFont="1" applyFill="1" applyBorder="1" applyAlignment="1">
      <alignment horizontal="left" vertical="center" wrapText="1"/>
    </xf>
    <xf numFmtId="0" fontId="41" fillId="2" borderId="0" xfId="0" applyFont="1" applyFill="1"/>
    <xf numFmtId="4" fontId="0" fillId="2" borderId="11" xfId="0" applyNumberFormat="1" applyFill="1" applyBorder="1" applyAlignment="1" applyProtection="1">
      <alignment horizontal="center"/>
      <protection locked="0"/>
    </xf>
    <xf numFmtId="0" fontId="2" fillId="6" borderId="5" xfId="0" applyFont="1" applyFill="1" applyBorder="1" applyAlignment="1" applyProtection="1">
      <alignment horizontal="center" vertical="center" wrapText="1"/>
      <protection locked="0"/>
    </xf>
    <xf numFmtId="14" fontId="11" fillId="2" borderId="0" xfId="0" applyNumberFormat="1" applyFont="1" applyFill="1" applyBorder="1"/>
    <xf numFmtId="0" fontId="0" fillId="2" borderId="0" xfId="0" applyFill="1" applyAlignment="1">
      <alignment horizontal="center" wrapText="1"/>
    </xf>
    <xf numFmtId="10" fontId="0" fillId="2" borderId="78" xfId="0" applyNumberFormat="1" applyFill="1" applyBorder="1" applyAlignment="1" applyProtection="1">
      <protection locked="0"/>
    </xf>
    <xf numFmtId="4" fontId="0" fillId="2" borderId="81" xfId="0" applyNumberFormat="1" applyFill="1" applyBorder="1" applyAlignment="1" applyProtection="1">
      <protection locked="0"/>
    </xf>
    <xf numFmtId="10" fontId="0" fillId="2" borderId="74" xfId="0" applyNumberFormat="1" applyFill="1" applyBorder="1" applyProtection="1">
      <protection locked="0"/>
    </xf>
    <xf numFmtId="0" fontId="2" fillId="0" borderId="3"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9" xfId="0" applyFont="1" applyFill="1" applyBorder="1" applyAlignment="1">
      <alignment horizontal="justify" vertical="center" wrapText="1"/>
    </xf>
    <xf numFmtId="0" fontId="2" fillId="2" borderId="10" xfId="0" applyFont="1" applyFill="1" applyBorder="1" applyAlignment="1">
      <alignment horizontal="justify" vertical="center" wrapText="1"/>
    </xf>
    <xf numFmtId="4" fontId="2" fillId="2" borderId="8"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justify" vertical="center" wrapText="1"/>
    </xf>
    <xf numFmtId="0" fontId="2" fillId="2" borderId="8" xfId="0" applyFont="1" applyFill="1" applyBorder="1" applyAlignment="1">
      <alignment vertical="center" wrapText="1"/>
    </xf>
    <xf numFmtId="0" fontId="2" fillId="2" borderId="3" xfId="0" applyFont="1" applyFill="1" applyBorder="1" applyAlignment="1">
      <alignment vertical="center" wrapText="1"/>
    </xf>
    <xf numFmtId="0" fontId="4" fillId="2" borderId="8"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42" fillId="2" borderId="0" xfId="0" applyFont="1" applyFill="1" applyBorder="1" applyAlignment="1">
      <alignment horizontal="justify" vertical="center" wrapText="1"/>
    </xf>
    <xf numFmtId="0" fontId="35" fillId="2" borderId="8"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5" xfId="0" applyFont="1" applyFill="1" applyBorder="1" applyAlignment="1">
      <alignment horizontal="justify" vertical="center" wrapText="1"/>
    </xf>
    <xf numFmtId="14" fontId="0" fillId="2" borderId="49" xfId="0" applyNumberFormat="1" applyFill="1" applyBorder="1" applyAlignment="1">
      <alignment horizontal="center"/>
    </xf>
    <xf numFmtId="14" fontId="0" fillId="2" borderId="47" xfId="0" applyNumberFormat="1" applyFill="1" applyBorder="1" applyAlignment="1">
      <alignment horizontal="center"/>
    </xf>
    <xf numFmtId="14" fontId="0" fillId="2" borderId="50" xfId="0" applyNumberFormat="1" applyFill="1" applyBorder="1" applyAlignment="1">
      <alignment horizontal="center"/>
    </xf>
    <xf numFmtId="0" fontId="1" fillId="2" borderId="0" xfId="0" applyFont="1" applyFill="1" applyAlignment="1">
      <alignment horizontal="center"/>
    </xf>
    <xf numFmtId="0" fontId="0" fillId="0" borderId="56" xfId="0" applyFill="1" applyBorder="1" applyAlignment="1">
      <alignment horizontal="left"/>
    </xf>
    <xf numFmtId="0" fontId="0" fillId="0" borderId="53" xfId="0" applyFill="1" applyBorder="1" applyAlignment="1">
      <alignment horizontal="left"/>
    </xf>
    <xf numFmtId="0" fontId="0" fillId="0" borderId="55" xfId="0" applyFill="1" applyBorder="1" applyAlignment="1">
      <alignment horizontal="left"/>
    </xf>
    <xf numFmtId="0" fontId="1" fillId="3" borderId="0" xfId="0" applyFont="1" applyFill="1" applyBorder="1" applyAlignment="1">
      <alignment horizontal="left" wrapText="1"/>
    </xf>
    <xf numFmtId="0" fontId="1" fillId="2" borderId="52" xfId="0" applyFont="1" applyFill="1" applyBorder="1" applyAlignment="1">
      <alignment horizontal="left"/>
    </xf>
    <xf numFmtId="0" fontId="0" fillId="3" borderId="0" xfId="0" applyFill="1" applyBorder="1" applyAlignment="1">
      <alignment horizontal="left"/>
    </xf>
    <xf numFmtId="10" fontId="0" fillId="6" borderId="84" xfId="0" applyNumberFormat="1" applyFill="1" applyBorder="1" applyAlignment="1" applyProtection="1">
      <alignment horizontal="center"/>
      <protection locked="0"/>
    </xf>
    <xf numFmtId="10" fontId="0" fillId="6" borderId="85" xfId="0" applyNumberFormat="1" applyFill="1" applyBorder="1" applyAlignment="1" applyProtection="1">
      <alignment horizontal="center"/>
      <protection locked="0"/>
    </xf>
    <xf numFmtId="4" fontId="0" fillId="2" borderId="78" xfId="0" applyNumberFormat="1" applyFill="1" applyBorder="1" applyAlignment="1" applyProtection="1">
      <alignment horizontal="center"/>
      <protection locked="0"/>
    </xf>
    <xf numFmtId="4" fontId="0" fillId="2" borderId="79" xfId="0" applyNumberFormat="1" applyFill="1" applyBorder="1" applyAlignment="1" applyProtection="1">
      <alignment horizontal="center"/>
      <protection locked="0"/>
    </xf>
    <xf numFmtId="0" fontId="10" fillId="5" borderId="57" xfId="0" applyFont="1" applyFill="1" applyBorder="1" applyAlignment="1" applyProtection="1">
      <alignment horizontal="center" vertical="center" wrapText="1"/>
      <protection hidden="1"/>
    </xf>
    <xf numFmtId="0" fontId="10" fillId="5" borderId="31" xfId="0" applyFont="1" applyFill="1" applyBorder="1" applyAlignment="1" applyProtection="1">
      <alignment horizontal="center" vertical="center" wrapText="1"/>
      <protection hidden="1"/>
    </xf>
    <xf numFmtId="0" fontId="10" fillId="5" borderId="58" xfId="0" applyFont="1" applyFill="1" applyBorder="1" applyAlignment="1" applyProtection="1">
      <alignment horizontal="center" vertical="center" wrapText="1"/>
      <protection hidden="1"/>
    </xf>
    <xf numFmtId="0" fontId="0" fillId="2" borderId="59" xfId="0" applyFill="1" applyBorder="1" applyAlignment="1">
      <alignment horizontal="left"/>
    </xf>
    <xf numFmtId="0" fontId="0" fillId="2" borderId="60" xfId="0" applyFill="1" applyBorder="1" applyAlignment="1">
      <alignment horizontal="left"/>
    </xf>
    <xf numFmtId="0" fontId="0" fillId="2" borderId="61" xfId="0" applyFill="1" applyBorder="1" applyAlignment="1">
      <alignment horizontal="left"/>
    </xf>
    <xf numFmtId="10" fontId="0" fillId="2" borderId="78" xfId="0" applyNumberFormat="1" applyFill="1" applyBorder="1" applyAlignment="1" applyProtection="1">
      <alignment horizontal="center"/>
      <protection locked="0"/>
    </xf>
    <xf numFmtId="10" fontId="0" fillId="2" borderId="79" xfId="0" applyNumberFormat="1" applyFill="1" applyBorder="1" applyAlignment="1" applyProtection="1">
      <alignment horizontal="center"/>
      <protection locked="0"/>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4" fontId="0" fillId="2" borderId="80" xfId="0" applyNumberFormat="1" applyFill="1" applyBorder="1" applyAlignment="1" applyProtection="1">
      <alignment horizontal="center"/>
      <protection locked="0"/>
    </xf>
    <xf numFmtId="4" fontId="0" fillId="2" borderId="81" xfId="0" applyNumberFormat="1" applyFill="1" applyBorder="1" applyAlignment="1" applyProtection="1">
      <alignment horizontal="center"/>
      <protection locked="0"/>
    </xf>
    <xf numFmtId="4" fontId="0" fillId="2" borderId="82" xfId="0" applyNumberFormat="1" applyFill="1" applyBorder="1" applyAlignment="1" applyProtection="1">
      <alignment horizontal="center"/>
      <protection locked="0"/>
    </xf>
    <xf numFmtId="4" fontId="0" fillId="2" borderId="83" xfId="0" applyNumberFormat="1" applyFill="1" applyBorder="1" applyAlignment="1" applyProtection="1">
      <alignment horizontal="center"/>
      <protection locked="0"/>
    </xf>
    <xf numFmtId="0" fontId="23" fillId="4" borderId="23" xfId="1" applyFont="1" applyFill="1" applyBorder="1" applyAlignment="1" applyProtection="1">
      <alignment horizontal="center" vertical="center" wrapText="1"/>
      <protection hidden="1"/>
    </xf>
    <xf numFmtId="0" fontId="23" fillId="4" borderId="77" xfId="1" applyFont="1" applyFill="1" applyBorder="1" applyAlignment="1" applyProtection="1">
      <alignment horizontal="center" vertical="center" wrapText="1"/>
      <protection hidden="1"/>
    </xf>
    <xf numFmtId="0" fontId="23" fillId="4" borderId="21" xfId="1" applyFont="1" applyFill="1" applyBorder="1" applyAlignment="1" applyProtection="1">
      <alignment horizontal="center" vertical="center" wrapText="1"/>
      <protection hidden="1"/>
    </xf>
    <xf numFmtId="0" fontId="23" fillId="4" borderId="20" xfId="1" applyFont="1" applyFill="1" applyBorder="1" applyAlignment="1" applyProtection="1">
      <alignment horizontal="center" vertical="center" wrapText="1"/>
      <protection hidden="1"/>
    </xf>
    <xf numFmtId="0" fontId="23" fillId="4" borderId="54" xfId="1" applyFont="1" applyFill="1" applyBorder="1" applyAlignment="1" applyProtection="1">
      <alignment horizontal="center" vertical="center" wrapText="1"/>
      <protection hidden="1"/>
    </xf>
    <xf numFmtId="0" fontId="25" fillId="4" borderId="38" xfId="1" applyFont="1" applyFill="1" applyBorder="1" applyAlignment="1" applyProtection="1">
      <alignment horizontal="center" vertical="center" wrapText="1"/>
      <protection hidden="1"/>
    </xf>
    <xf numFmtId="0" fontId="25" fillId="4" borderId="76" xfId="1" applyFont="1" applyFill="1" applyBorder="1" applyAlignment="1" applyProtection="1">
      <alignment horizontal="center" vertical="center" wrapText="1"/>
      <protection hidden="1"/>
    </xf>
    <xf numFmtId="0" fontId="23" fillId="4" borderId="14" xfId="1" applyFont="1" applyFill="1" applyBorder="1" applyAlignment="1" applyProtection="1">
      <alignment horizontal="center" vertical="center" wrapText="1"/>
      <protection hidden="1"/>
    </xf>
    <xf numFmtId="0" fontId="23" fillId="4" borderId="27" xfId="1" applyFont="1" applyFill="1" applyBorder="1" applyAlignment="1" applyProtection="1">
      <alignment horizontal="center" vertical="center" wrapText="1"/>
      <protection hidden="1"/>
    </xf>
    <xf numFmtId="0" fontId="25" fillId="4" borderId="12" xfId="1" applyFont="1" applyFill="1" applyBorder="1" applyAlignment="1" applyProtection="1">
      <alignment horizontal="left" vertical="center" wrapText="1"/>
      <protection hidden="1"/>
    </xf>
    <xf numFmtId="0" fontId="25" fillId="4" borderId="26" xfId="1" applyFont="1" applyFill="1" applyBorder="1" applyAlignment="1" applyProtection="1">
      <alignment horizontal="left" vertical="center" wrapText="1"/>
      <protection hidden="1"/>
    </xf>
    <xf numFmtId="0" fontId="23" fillId="4" borderId="13" xfId="1" applyFont="1" applyFill="1" applyBorder="1" applyAlignment="1" applyProtection="1">
      <alignment horizontal="center" vertical="center" wrapText="1"/>
      <protection hidden="1"/>
    </xf>
    <xf numFmtId="0" fontId="23" fillId="4" borderId="34" xfId="1" applyFont="1" applyFill="1" applyBorder="1" applyAlignment="1" applyProtection="1">
      <alignment horizontal="center" vertical="center" wrapText="1"/>
      <protection hidden="1"/>
    </xf>
    <xf numFmtId="0" fontId="1" fillId="2" borderId="11" xfId="0" applyFont="1" applyFill="1" applyBorder="1" applyAlignment="1" applyProtection="1">
      <alignment horizontal="center"/>
      <protection hidden="1"/>
    </xf>
    <xf numFmtId="0" fontId="20" fillId="2" borderId="15" xfId="1" applyFont="1" applyFill="1" applyBorder="1" applyAlignment="1" applyProtection="1">
      <alignment horizontal="left" wrapText="1"/>
      <protection hidden="1"/>
    </xf>
    <xf numFmtId="0" fontId="20" fillId="2" borderId="12" xfId="1" applyFont="1" applyFill="1" applyBorder="1" applyAlignment="1" applyProtection="1">
      <alignment horizontal="center" vertical="center" wrapText="1"/>
      <protection hidden="1"/>
    </xf>
    <xf numFmtId="0" fontId="20" fillId="2" borderId="16" xfId="1" applyFont="1" applyFill="1" applyBorder="1" applyAlignment="1" applyProtection="1">
      <alignment horizontal="center" vertical="center" wrapText="1"/>
      <protection hidden="1"/>
    </xf>
    <xf numFmtId="0" fontId="23" fillId="4" borderId="18" xfId="1" applyFont="1" applyFill="1" applyBorder="1" applyAlignment="1" applyProtection="1">
      <alignment horizontal="center" vertical="center" wrapText="1"/>
      <protection hidden="1"/>
    </xf>
    <xf numFmtId="0" fontId="23" fillId="4" borderId="19" xfId="1" applyFont="1" applyFill="1" applyBorder="1" applyAlignment="1" applyProtection="1">
      <alignment horizontal="center" vertical="center" wrapText="1"/>
      <protection hidden="1"/>
    </xf>
    <xf numFmtId="0" fontId="24" fillId="4" borderId="20" xfId="1" applyFont="1" applyFill="1" applyBorder="1" applyAlignment="1" applyProtection="1">
      <alignment horizontal="center" vertical="center" wrapText="1"/>
      <protection hidden="1"/>
    </xf>
    <xf numFmtId="14" fontId="20" fillId="2" borderId="12" xfId="1" applyNumberFormat="1" applyFont="1" applyFill="1" applyBorder="1" applyAlignment="1" applyProtection="1">
      <alignment horizontal="center" vertical="center" wrapText="1"/>
      <protection hidden="1"/>
    </xf>
    <xf numFmtId="0" fontId="26" fillId="2" borderId="12" xfId="1" applyFont="1" applyFill="1" applyBorder="1" applyAlignment="1" applyProtection="1">
      <alignment horizontal="center"/>
      <protection hidden="1"/>
    </xf>
    <xf numFmtId="0" fontId="26" fillId="2" borderId="16" xfId="1" applyFont="1" applyFill="1" applyBorder="1" applyAlignment="1" applyProtection="1">
      <alignment horizontal="center"/>
      <protection hidden="1"/>
    </xf>
    <xf numFmtId="0" fontId="14" fillId="0" borderId="0" xfId="0" applyFont="1" applyAlignment="1">
      <alignment horizontal="left" wrapText="1"/>
    </xf>
    <xf numFmtId="165" fontId="29" fillId="0" borderId="0" xfId="1" applyNumberFormat="1" applyFont="1" applyFill="1" applyBorder="1" applyAlignment="1" applyProtection="1">
      <alignment horizontal="left" vertical="center"/>
      <protection locked="0" hidden="1"/>
    </xf>
    <xf numFmtId="165" fontId="8" fillId="2" borderId="11" xfId="1" applyNumberFormat="1" applyFont="1" applyFill="1" applyBorder="1" applyAlignment="1" applyProtection="1">
      <alignment horizontal="left" vertical="center"/>
      <protection hidden="1"/>
    </xf>
    <xf numFmtId="10" fontId="8" fillId="2" borderId="11" xfId="1" applyNumberFormat="1" applyFont="1" applyFill="1" applyBorder="1" applyAlignment="1" applyProtection="1">
      <alignment horizontal="left" vertical="center"/>
      <protection hidden="1"/>
    </xf>
    <xf numFmtId="10" fontId="8" fillId="2" borderId="12" xfId="1" applyNumberFormat="1" applyFont="1" applyFill="1" applyBorder="1" applyAlignment="1" applyProtection="1">
      <alignment horizontal="left" vertical="center"/>
      <protection hidden="1"/>
    </xf>
    <xf numFmtId="0" fontId="0" fillId="2" borderId="13"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4" xfId="0" applyFill="1" applyBorder="1" applyAlignment="1">
      <alignment horizontal="center" vertical="center" wrapText="1"/>
    </xf>
    <xf numFmtId="0" fontId="23" fillId="4" borderId="0" xfId="1" applyFont="1" applyFill="1" applyBorder="1" applyAlignment="1" applyProtection="1">
      <alignment horizontal="center" vertical="center" wrapText="1"/>
      <protection hidden="1"/>
    </xf>
    <xf numFmtId="0" fontId="8" fillId="0" borderId="13" xfId="1" applyFont="1" applyFill="1" applyBorder="1" applyAlignment="1" applyProtection="1">
      <alignment horizontal="center" vertical="center" wrapText="1"/>
      <protection locked="0" hidden="1"/>
    </xf>
    <xf numFmtId="0" fontId="8" fillId="0" borderId="23" xfId="1" applyFont="1" applyFill="1" applyBorder="1" applyAlignment="1" applyProtection="1">
      <alignment horizontal="center" vertical="center" wrapText="1"/>
      <protection locked="0" hidden="1"/>
    </xf>
    <xf numFmtId="0" fontId="8" fillId="0" borderId="17" xfId="1" applyFont="1" applyFill="1" applyBorder="1" applyAlignment="1" applyProtection="1">
      <alignment horizontal="center" vertical="center" wrapText="1"/>
      <protection locked="0" hidden="1"/>
    </xf>
    <xf numFmtId="0" fontId="8" fillId="0" borderId="24" xfId="1" applyFont="1" applyFill="1" applyBorder="1" applyAlignment="1" applyProtection="1">
      <alignment horizontal="center" vertical="center" wrapText="1"/>
      <protection locked="0" hidden="1"/>
    </xf>
    <xf numFmtId="165" fontId="8" fillId="0" borderId="23" xfId="1" applyNumberFormat="1" applyFont="1" applyFill="1" applyBorder="1" applyAlignment="1" applyProtection="1">
      <alignment horizontal="center" vertical="center" wrapText="1"/>
      <protection locked="0" hidden="1"/>
    </xf>
    <xf numFmtId="0" fontId="8" fillId="2" borderId="11" xfId="1" applyFont="1" applyFill="1" applyBorder="1" applyAlignment="1" applyProtection="1">
      <alignment horizontal="left"/>
      <protection hidden="1"/>
    </xf>
    <xf numFmtId="14" fontId="8" fillId="2" borderId="11" xfId="1" applyNumberFormat="1" applyFont="1" applyFill="1" applyBorder="1" applyAlignment="1" applyProtection="1">
      <alignment horizontal="left" vertical="center"/>
      <protection locked="0" hidden="1"/>
    </xf>
    <xf numFmtId="0" fontId="8" fillId="2" borderId="12"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3" fontId="19" fillId="2" borderId="11" xfId="1" applyNumberFormat="1" applyFont="1" applyFill="1" applyBorder="1" applyAlignment="1" applyProtection="1">
      <alignment horizontal="left" vertical="center"/>
      <protection hidden="1"/>
    </xf>
    <xf numFmtId="165" fontId="8" fillId="0" borderId="14" xfId="1" applyNumberFormat="1" applyFont="1" applyFill="1" applyBorder="1" applyAlignment="1" applyProtection="1">
      <alignment horizontal="center" vertical="center" wrapText="1"/>
      <protection locked="0" hidden="1"/>
    </xf>
    <xf numFmtId="165" fontId="8" fillId="0" borderId="25" xfId="1" applyNumberFormat="1" applyFont="1" applyFill="1" applyBorder="1" applyAlignment="1" applyProtection="1">
      <alignment horizontal="center" vertical="center" wrapText="1"/>
      <protection locked="0" hidden="1"/>
    </xf>
    <xf numFmtId="165" fontId="8" fillId="0" borderId="27" xfId="1" applyNumberFormat="1" applyFont="1" applyFill="1" applyBorder="1" applyAlignment="1" applyProtection="1">
      <alignment horizontal="center" vertical="center" wrapText="1"/>
      <protection locked="0" hidden="1"/>
    </xf>
    <xf numFmtId="0" fontId="0" fillId="2" borderId="13" xfId="0" applyFill="1" applyBorder="1" applyAlignment="1">
      <alignment horizontal="center" wrapText="1"/>
    </xf>
    <xf numFmtId="0" fontId="0" fillId="2" borderId="23" xfId="0" applyFill="1" applyBorder="1" applyAlignment="1">
      <alignment horizontal="center" wrapText="1"/>
    </xf>
    <xf numFmtId="0" fontId="0" fillId="2" borderId="17" xfId="0" applyFill="1" applyBorder="1" applyAlignment="1">
      <alignment horizontal="center" wrapText="1"/>
    </xf>
    <xf numFmtId="0" fontId="0" fillId="2" borderId="24" xfId="0" applyFill="1" applyBorder="1" applyAlignment="1">
      <alignment horizontal="center" wrapText="1"/>
    </xf>
    <xf numFmtId="0" fontId="0" fillId="2" borderId="12" xfId="0" applyFill="1" applyBorder="1" applyAlignment="1">
      <alignment horizontal="center" vertical="center" wrapText="1"/>
    </xf>
    <xf numFmtId="0" fontId="0" fillId="2" borderId="16" xfId="0" applyFill="1" applyBorder="1" applyAlignment="1">
      <alignment horizontal="center" vertical="center" wrapText="1"/>
    </xf>
    <xf numFmtId="0" fontId="23" fillId="4" borderId="11" xfId="1" applyFont="1" applyFill="1" applyBorder="1" applyAlignment="1" applyProtection="1">
      <alignment horizontal="center" vertical="center" wrapText="1"/>
      <protection hidden="1"/>
    </xf>
    <xf numFmtId="0" fontId="23" fillId="4" borderId="22" xfId="1" applyFont="1" applyFill="1" applyBorder="1" applyAlignment="1" applyProtection="1">
      <alignment horizontal="center" vertical="center" wrapText="1"/>
      <protection hidden="1"/>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009900"/>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0"/>
  <sheetViews>
    <sheetView tabSelected="1" topLeftCell="A76" workbookViewId="0">
      <selection activeCell="A79" sqref="A79:XFD80"/>
    </sheetView>
  </sheetViews>
  <sheetFormatPr defaultRowHeight="14.5" x14ac:dyDescent="0.35"/>
  <cols>
    <col min="1" max="1" width="45.54296875" style="8" customWidth="1"/>
    <col min="2" max="2" width="55.453125" style="8" customWidth="1"/>
    <col min="3" max="3" width="21.54296875" style="74" customWidth="1"/>
    <col min="4" max="4" width="33.453125" style="74" customWidth="1"/>
  </cols>
  <sheetData>
    <row r="1" spans="1:4" s="5" customFormat="1" ht="87.5" thickBot="1" x14ac:dyDescent="0.4">
      <c r="A1" s="8"/>
      <c r="B1" s="209" t="s">
        <v>528</v>
      </c>
      <c r="C1" s="74"/>
      <c r="D1" s="74"/>
    </row>
    <row r="2" spans="1:4" ht="15" thickBot="1" x14ac:dyDescent="0.4">
      <c r="A2" s="227" t="s">
        <v>0</v>
      </c>
      <c r="B2" s="228"/>
    </row>
    <row r="3" spans="1:4" ht="15" customHeight="1" x14ac:dyDescent="0.35">
      <c r="A3" s="215" t="s">
        <v>1</v>
      </c>
      <c r="B3" s="232" t="s">
        <v>107</v>
      </c>
    </row>
    <row r="4" spans="1:4" ht="15" thickBot="1" x14ac:dyDescent="0.4">
      <c r="A4" s="229"/>
      <c r="B4" s="233"/>
    </row>
    <row r="5" spans="1:4" ht="15" thickBot="1" x14ac:dyDescent="0.4">
      <c r="A5" s="216"/>
      <c r="B5" s="207" t="s">
        <v>509</v>
      </c>
      <c r="D5" s="205" t="s">
        <v>525</v>
      </c>
    </row>
    <row r="6" spans="1:4" ht="15" customHeight="1" x14ac:dyDescent="0.35">
      <c r="A6" s="215" t="s">
        <v>2</v>
      </c>
      <c r="B6" s="172" t="s">
        <v>3</v>
      </c>
    </row>
    <row r="7" spans="1:4" x14ac:dyDescent="0.35">
      <c r="A7" s="229"/>
      <c r="B7" s="172" t="s">
        <v>4</v>
      </c>
    </row>
    <row r="8" spans="1:4" ht="15" thickBot="1" x14ac:dyDescent="0.4">
      <c r="A8" s="216"/>
      <c r="B8" s="206"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 xml:space="preserve">58002, м. Чернівці, 
вул. Івана Франка,1 </v>
      </c>
    </row>
    <row r="9" spans="1:4" x14ac:dyDescent="0.35">
      <c r="A9" s="230" t="s">
        <v>5</v>
      </c>
      <c r="B9" s="174" t="s">
        <v>6</v>
      </c>
    </row>
    <row r="10" spans="1:4" ht="15" thickBot="1" x14ac:dyDescent="0.4">
      <c r="A10" s="231"/>
      <c r="B10" s="175" t="s">
        <v>108</v>
      </c>
    </row>
    <row r="11" spans="1:4" ht="15" thickBot="1" x14ac:dyDescent="0.4">
      <c r="A11" s="176" t="s">
        <v>7</v>
      </c>
      <c r="B11" s="173" t="s">
        <v>8</v>
      </c>
    </row>
    <row r="12" spans="1:4" ht="15" thickBot="1" x14ac:dyDescent="0.4">
      <c r="A12" s="176" t="s">
        <v>9</v>
      </c>
      <c r="B12" s="173" t="s">
        <v>10</v>
      </c>
    </row>
    <row r="13" spans="1:4" ht="15" thickBot="1" x14ac:dyDescent="0.4">
      <c r="A13" s="176" t="s">
        <v>11</v>
      </c>
      <c r="B13" s="173" t="s">
        <v>12</v>
      </c>
    </row>
    <row r="14" spans="1:4" ht="15.75" customHeight="1" thickBot="1" x14ac:dyDescent="0.4">
      <c r="A14" s="219" t="s">
        <v>13</v>
      </c>
      <c r="B14" s="220"/>
    </row>
    <row r="15" spans="1:4" s="5" customFormat="1" ht="15.75" customHeight="1" thickBot="1" x14ac:dyDescent="0.4">
      <c r="A15" s="177" t="s">
        <v>151</v>
      </c>
      <c r="B15" s="239" t="s">
        <v>152</v>
      </c>
      <c r="C15" s="74"/>
      <c r="D15" s="74"/>
    </row>
    <row r="16" spans="1:4" s="5" customFormat="1" ht="15.75" customHeight="1" thickBot="1" x14ac:dyDescent="0.4">
      <c r="A16" s="177" t="s">
        <v>153</v>
      </c>
      <c r="B16" s="240"/>
      <c r="C16" s="74"/>
      <c r="D16" s="74"/>
    </row>
    <row r="17" spans="1:4" s="5" customFormat="1" ht="15.75" customHeight="1" thickBot="1" x14ac:dyDescent="0.4">
      <c r="A17" s="177" t="s">
        <v>7</v>
      </c>
      <c r="B17" s="240"/>
      <c r="C17" s="74"/>
      <c r="D17" s="74"/>
    </row>
    <row r="18" spans="1:4" s="5" customFormat="1" ht="15.75" customHeight="1" thickBot="1" x14ac:dyDescent="0.4">
      <c r="A18" s="177" t="s">
        <v>9</v>
      </c>
      <c r="B18" s="240"/>
      <c r="C18" s="74"/>
      <c r="D18" s="74"/>
    </row>
    <row r="19" spans="1:4" s="5" customFormat="1" ht="15.75" customHeight="1" thickBot="1" x14ac:dyDescent="0.4">
      <c r="A19" s="177" t="s">
        <v>154</v>
      </c>
      <c r="B19" s="241"/>
      <c r="C19" s="74"/>
      <c r="D19" s="74"/>
    </row>
    <row r="20" spans="1:4" ht="15.75" customHeight="1" thickBot="1" x14ac:dyDescent="0.4">
      <c r="A20" s="219" t="s">
        <v>14</v>
      </c>
      <c r="B20" s="220"/>
    </row>
    <row r="21" spans="1:4" ht="15" thickBot="1" x14ac:dyDescent="0.4">
      <c r="A21" s="176" t="s">
        <v>15</v>
      </c>
      <c r="B21" s="173" t="s">
        <v>72</v>
      </c>
    </row>
    <row r="22" spans="1:4" ht="15" thickBot="1" x14ac:dyDescent="0.4">
      <c r="A22" s="176" t="s">
        <v>16</v>
      </c>
      <c r="B22" s="178">
        <f>графік!F7</f>
        <v>300000</v>
      </c>
    </row>
    <row r="23" spans="1:4" ht="15" thickBot="1" x14ac:dyDescent="0.4">
      <c r="A23" s="176" t="s">
        <v>71</v>
      </c>
      <c r="B23" s="179" t="str">
        <f>CONCATENATE(D23, C23)</f>
        <v>60 міс.</v>
      </c>
      <c r="C23" s="74" t="s">
        <v>155</v>
      </c>
      <c r="D23" s="74">
        <f>графік!F8</f>
        <v>60</v>
      </c>
    </row>
    <row r="24" spans="1:4" s="5" customFormat="1" x14ac:dyDescent="0.35">
      <c r="A24" s="217" t="s">
        <v>17</v>
      </c>
      <c r="B24" s="217" t="s">
        <v>110</v>
      </c>
      <c r="C24" s="74"/>
      <c r="D24" s="74"/>
    </row>
    <row r="25" spans="1:4" ht="15" thickBot="1" x14ac:dyDescent="0.4">
      <c r="A25" s="218"/>
      <c r="B25" s="226"/>
    </row>
    <row r="26" spans="1:4" ht="15" customHeight="1" x14ac:dyDescent="0.35">
      <c r="A26" s="224" t="s">
        <v>18</v>
      </c>
      <c r="B26" s="217" t="s">
        <v>111</v>
      </c>
    </row>
    <row r="27" spans="1:4" s="5" customFormat="1" ht="9.75" customHeight="1" thickBot="1" x14ac:dyDescent="0.4">
      <c r="A27" s="225"/>
      <c r="B27" s="218"/>
      <c r="C27" s="74"/>
      <c r="D27" s="74"/>
    </row>
    <row r="28" spans="1:4" ht="15" thickBot="1" x14ac:dyDescent="0.4">
      <c r="A28" s="180" t="s">
        <v>19</v>
      </c>
      <c r="B28" s="173" t="s">
        <v>125</v>
      </c>
    </row>
    <row r="29" spans="1:4" ht="15" thickBot="1" x14ac:dyDescent="0.4">
      <c r="A29" s="180" t="s">
        <v>20</v>
      </c>
      <c r="B29" s="173" t="s">
        <v>21</v>
      </c>
    </row>
    <row r="30" spans="1:4" ht="20.25" customHeight="1" x14ac:dyDescent="0.35">
      <c r="A30" s="215" t="s">
        <v>22</v>
      </c>
      <c r="B30" s="217" t="s">
        <v>112</v>
      </c>
    </row>
    <row r="31" spans="1:4" ht="15" thickBot="1" x14ac:dyDescent="0.4">
      <c r="A31" s="216"/>
      <c r="B31" s="218"/>
    </row>
    <row r="32" spans="1:4" ht="15.75" customHeight="1" thickBot="1" x14ac:dyDescent="0.4">
      <c r="A32" s="219" t="s">
        <v>149</v>
      </c>
      <c r="B32" s="220"/>
    </row>
    <row r="33" spans="1:4" ht="15" thickBot="1" x14ac:dyDescent="0.4">
      <c r="A33" s="180" t="s">
        <v>23</v>
      </c>
      <c r="B33" s="181">
        <f>графік!F9</f>
        <v>0.2999</v>
      </c>
    </row>
    <row r="34" spans="1:4" ht="15" thickBot="1" x14ac:dyDescent="0.4">
      <c r="A34" s="180" t="s">
        <v>24</v>
      </c>
      <c r="B34" s="173" t="s">
        <v>122</v>
      </c>
    </row>
    <row r="35" spans="1:4" ht="40.5" customHeight="1" thickBot="1" x14ac:dyDescent="0.4">
      <c r="A35" s="180" t="s">
        <v>25</v>
      </c>
      <c r="B35" s="182" t="s">
        <v>156</v>
      </c>
    </row>
    <row r="36" spans="1:4" ht="23.5" thickBot="1" x14ac:dyDescent="0.4">
      <c r="A36" s="180" t="s">
        <v>26</v>
      </c>
      <c r="B36" s="173" t="s">
        <v>27</v>
      </c>
    </row>
    <row r="37" spans="1:4" ht="15" thickBot="1" x14ac:dyDescent="0.4">
      <c r="A37" s="180" t="s">
        <v>106</v>
      </c>
      <c r="B37" s="181">
        <f>графік!P7</f>
        <v>0.02</v>
      </c>
    </row>
    <row r="38" spans="1:4" ht="15" thickBot="1" x14ac:dyDescent="0.4">
      <c r="A38" s="180" t="s">
        <v>28</v>
      </c>
      <c r="B38" s="183" t="s">
        <v>21</v>
      </c>
    </row>
    <row r="39" spans="1:4" s="5" customFormat="1" ht="15" thickBot="1" x14ac:dyDescent="0.4">
      <c r="A39" s="184" t="s">
        <v>141</v>
      </c>
      <c r="B39" s="185">
        <f>графік!R11</f>
        <v>1200</v>
      </c>
      <c r="C39" s="74"/>
      <c r="D39" s="74"/>
    </row>
    <row r="40" spans="1:4" ht="15" customHeight="1" x14ac:dyDescent="0.35">
      <c r="A40" s="215" t="s">
        <v>123</v>
      </c>
      <c r="B40" s="223" t="s">
        <v>21</v>
      </c>
    </row>
    <row r="41" spans="1:4" ht="15" thickBot="1" x14ac:dyDescent="0.4">
      <c r="A41" s="216"/>
      <c r="B41" s="218"/>
    </row>
    <row r="42" spans="1:4" ht="15" hidden="1" thickBot="1" x14ac:dyDescent="0.4">
      <c r="A42" s="180"/>
      <c r="B42" s="173"/>
    </row>
    <row r="43" spans="1:4" s="5" customFormat="1" ht="23.5" thickBot="1" x14ac:dyDescent="0.4">
      <c r="A43" s="186" t="s">
        <v>157</v>
      </c>
      <c r="B43" s="182" t="s">
        <v>158</v>
      </c>
      <c r="C43" s="74"/>
      <c r="D43" s="74"/>
    </row>
    <row r="44" spans="1:4" s="5" customFormat="1" ht="23.5" thickBot="1" x14ac:dyDescent="0.4">
      <c r="A44" s="186" t="s">
        <v>159</v>
      </c>
      <c r="B44" s="182" t="s">
        <v>160</v>
      </c>
      <c r="C44" s="74"/>
      <c r="D44" s="74"/>
    </row>
    <row r="45" spans="1:4" ht="15" thickBot="1" x14ac:dyDescent="0.4">
      <c r="A45" s="180" t="s">
        <v>30</v>
      </c>
      <c r="B45" s="178">
        <f ca="1">B46-B22</f>
        <v>236061.33000000007</v>
      </c>
    </row>
    <row r="46" spans="1:4" ht="35" thickBot="1" x14ac:dyDescent="0.4">
      <c r="A46" s="180" t="s">
        <v>31</v>
      </c>
      <c r="B46" s="178">
        <f ca="1">SUM('дод 1 до дог кред'!Q30:Q114)</f>
        <v>536061.33000000007</v>
      </c>
    </row>
    <row r="47" spans="1:4" ht="15" thickBot="1" x14ac:dyDescent="0.4">
      <c r="A47" s="180" t="s">
        <v>32</v>
      </c>
      <c r="B47" s="187">
        <f ca="1">SUM(графік!Q28:Q113)</f>
        <v>0.36461604237556455</v>
      </c>
    </row>
    <row r="48" spans="1:4" ht="48" customHeight="1" x14ac:dyDescent="0.35">
      <c r="A48" s="221" t="s">
        <v>33</v>
      </c>
      <c r="B48" s="222"/>
    </row>
    <row r="49" spans="1:4" ht="24" customHeight="1" thickBot="1" x14ac:dyDescent="0.4">
      <c r="A49" s="244" t="s">
        <v>34</v>
      </c>
      <c r="B49" s="245"/>
    </row>
    <row r="50" spans="1:4" ht="24" customHeight="1" thickBot="1" x14ac:dyDescent="0.4">
      <c r="A50" s="242" t="s">
        <v>35</v>
      </c>
      <c r="B50" s="243"/>
    </row>
    <row r="51" spans="1:4" s="5" customFormat="1" ht="24" customHeight="1" thickBot="1" x14ac:dyDescent="0.4">
      <c r="A51" s="188" t="s">
        <v>143</v>
      </c>
      <c r="B51" s="189" t="s">
        <v>27</v>
      </c>
      <c r="C51" s="74"/>
      <c r="D51" s="74"/>
    </row>
    <row r="52" spans="1:4" s="5" customFormat="1" ht="24" customHeight="1" thickBot="1" x14ac:dyDescent="0.4">
      <c r="A52" s="190" t="s">
        <v>144</v>
      </c>
      <c r="B52" s="178" t="str">
        <f>IF(C52=0,D52,CONCATENATE(D52,C52))</f>
        <v>ні</v>
      </c>
      <c r="C52" s="171">
        <f>графік!I28</f>
        <v>0</v>
      </c>
      <c r="D52" s="74" t="str">
        <f>IF(C52&gt;0,"так, ","ні")</f>
        <v>ні</v>
      </c>
    </row>
    <row r="53" spans="1:4" s="5" customFormat="1" ht="24" customHeight="1" thickBot="1" x14ac:dyDescent="0.4">
      <c r="A53" s="190" t="s">
        <v>145</v>
      </c>
      <c r="B53" s="178" t="str">
        <f>IF(C53=0,D53,CONCATENATE(D53,C53))</f>
        <v>ні</v>
      </c>
      <c r="C53" s="171">
        <f>графік!J28</f>
        <v>0</v>
      </c>
      <c r="D53" s="74" t="str">
        <f>IF(C53&gt;0,"так, ","ні")</f>
        <v>ні</v>
      </c>
    </row>
    <row r="54" spans="1:4" s="5" customFormat="1" ht="24" customHeight="1" thickBot="1" x14ac:dyDescent="0.4">
      <c r="A54" s="190" t="s">
        <v>146</v>
      </c>
      <c r="B54" s="178" t="str">
        <f>IF(C54=0,D54,CONCATENATE(D54,C54))</f>
        <v>ні</v>
      </c>
      <c r="C54" s="171">
        <f>графік!Q14+графік!Q15</f>
        <v>0</v>
      </c>
      <c r="D54" s="74" t="str">
        <f>IF(C54&gt;0,"так, ","ні")</f>
        <v>ні</v>
      </c>
    </row>
    <row r="55" spans="1:4" s="5" customFormat="1" ht="24" customHeight="1" thickBot="1" x14ac:dyDescent="0.4">
      <c r="A55" s="190" t="s">
        <v>147</v>
      </c>
      <c r="B55" s="178" t="str">
        <f>IF(C55=0,D55,CONCATENATE(D55,C55))</f>
        <v>ні</v>
      </c>
      <c r="C55" s="171">
        <f>графік!L28</f>
        <v>0</v>
      </c>
      <c r="D55" s="74" t="str">
        <f>IF(C55&gt;0,"так, ","ні")</f>
        <v>ні</v>
      </c>
    </row>
    <row r="56" spans="1:4" ht="15" thickBot="1" x14ac:dyDescent="0.4">
      <c r="A56" s="219" t="s">
        <v>36</v>
      </c>
      <c r="B56" s="220"/>
    </row>
    <row r="57" spans="1:4" ht="58" thickBot="1" x14ac:dyDescent="0.4">
      <c r="A57" s="180" t="s">
        <v>37</v>
      </c>
      <c r="B57" s="182" t="s">
        <v>150</v>
      </c>
    </row>
    <row r="58" spans="1:4" ht="15" thickBot="1" x14ac:dyDescent="0.4">
      <c r="A58" s="219" t="s">
        <v>38</v>
      </c>
      <c r="B58" s="220"/>
    </row>
    <row r="59" spans="1:4" ht="23.5" thickBot="1" x14ac:dyDescent="0.4">
      <c r="A59" s="180" t="s">
        <v>39</v>
      </c>
      <c r="B59" s="182" t="s">
        <v>161</v>
      </c>
    </row>
    <row r="60" spans="1:4" ht="15" thickBot="1" x14ac:dyDescent="0.4">
      <c r="A60" s="180" t="s">
        <v>40</v>
      </c>
      <c r="B60" s="173" t="s">
        <v>41</v>
      </c>
    </row>
    <row r="61" spans="1:4" s="5" customFormat="1" ht="15" thickBot="1" x14ac:dyDescent="0.4">
      <c r="A61" s="186" t="s">
        <v>162</v>
      </c>
      <c r="B61" s="182" t="s">
        <v>21</v>
      </c>
      <c r="C61" s="74"/>
      <c r="D61" s="74"/>
    </row>
    <row r="62" spans="1:4" ht="23.5" thickBot="1" x14ac:dyDescent="0.4">
      <c r="A62" s="180" t="s">
        <v>75</v>
      </c>
      <c r="B62" s="173" t="s">
        <v>76</v>
      </c>
    </row>
    <row r="63" spans="1:4" ht="15" thickBot="1" x14ac:dyDescent="0.4">
      <c r="A63" s="180" t="s">
        <v>42</v>
      </c>
      <c r="B63" s="173" t="s">
        <v>21</v>
      </c>
    </row>
    <row r="64" spans="1:4" s="5" customFormat="1" ht="23.5" thickBot="1" x14ac:dyDescent="0.4">
      <c r="A64" s="213" t="s">
        <v>530</v>
      </c>
      <c r="B64" s="214" t="s">
        <v>531</v>
      </c>
      <c r="C64" s="74"/>
      <c r="D64" s="74"/>
    </row>
    <row r="65" spans="1:4" s="5" customFormat="1" ht="26" customHeight="1" thickBot="1" x14ac:dyDescent="0.4">
      <c r="A65" s="234" t="s">
        <v>532</v>
      </c>
      <c r="B65" s="235"/>
      <c r="C65" s="74"/>
      <c r="D65" s="74"/>
    </row>
    <row r="66" spans="1:4" ht="15" thickBot="1" x14ac:dyDescent="0.4">
      <c r="A66" s="219" t="s">
        <v>43</v>
      </c>
      <c r="B66" s="220"/>
    </row>
    <row r="67" spans="1:4" ht="36" customHeight="1" thickBot="1" x14ac:dyDescent="0.4">
      <c r="A67" s="242" t="s">
        <v>44</v>
      </c>
      <c r="B67" s="243"/>
    </row>
    <row r="68" spans="1:4" ht="46.5" thickBot="1" x14ac:dyDescent="0.4">
      <c r="A68" s="180" t="s">
        <v>45</v>
      </c>
      <c r="B68" s="173" t="s">
        <v>120</v>
      </c>
    </row>
    <row r="69" spans="1:4" ht="36" customHeight="1" thickBot="1" x14ac:dyDescent="0.4">
      <c r="A69" s="242" t="s">
        <v>46</v>
      </c>
      <c r="B69" s="243"/>
    </row>
    <row r="70" spans="1:4" ht="36" customHeight="1" thickBot="1" x14ac:dyDescent="0.4">
      <c r="A70" s="242" t="s">
        <v>47</v>
      </c>
      <c r="B70" s="243"/>
      <c r="C70" s="155"/>
      <c r="D70" s="155"/>
    </row>
    <row r="71" spans="1:4" x14ac:dyDescent="0.35">
      <c r="A71" s="217" t="str">
        <f ca="1">CONCATENATE(D71,TEXT(C71,"dd.mm.yyyy"))</f>
        <v>Дата надання інформації: 12.07.2021</v>
      </c>
      <c r="B71" s="217" t="str">
        <f ca="1">CONCATENATE(D72,TEXT(C72,"dd.mm.yyyy"))</f>
        <v>Ця інформація зберігає чинність та є актуальною до 11.07.2026</v>
      </c>
      <c r="C71" s="208">
        <f ca="1">TODAY()</f>
        <v>44389</v>
      </c>
      <c r="D71" s="155" t="s">
        <v>526</v>
      </c>
    </row>
    <row r="72" spans="1:4" ht="15" thickBot="1" x14ac:dyDescent="0.4">
      <c r="A72" s="218"/>
      <c r="B72" s="218"/>
      <c r="C72" s="208">
        <f ca="1">EDATE(C71,графік!F8)-1</f>
        <v>46214</v>
      </c>
      <c r="D72" s="238" t="s">
        <v>527</v>
      </c>
    </row>
    <row r="73" spans="1:4" x14ac:dyDescent="0.35">
      <c r="A73" s="191"/>
      <c r="B73" s="179"/>
      <c r="C73" s="155"/>
      <c r="D73" s="238"/>
    </row>
    <row r="74" spans="1:4" ht="15" thickBot="1" x14ac:dyDescent="0.4">
      <c r="A74" s="192" t="s">
        <v>48</v>
      </c>
      <c r="B74" s="173" t="s">
        <v>49</v>
      </c>
      <c r="C74" s="155"/>
      <c r="D74" s="155"/>
    </row>
    <row r="75" spans="1:4" ht="24" customHeight="1" thickBot="1" x14ac:dyDescent="0.4">
      <c r="A75" s="242" t="s">
        <v>50</v>
      </c>
      <c r="B75" s="243"/>
    </row>
    <row r="76" spans="1:4" ht="48" customHeight="1" thickBot="1" x14ac:dyDescent="0.4">
      <c r="A76" s="242" t="s">
        <v>51</v>
      </c>
      <c r="B76" s="243"/>
    </row>
    <row r="77" spans="1:4" x14ac:dyDescent="0.35">
      <c r="A77" s="191"/>
      <c r="B77" s="179"/>
    </row>
    <row r="78" spans="1:4" ht="15" thickBot="1" x14ac:dyDescent="0.4">
      <c r="A78" s="192" t="s">
        <v>52</v>
      </c>
      <c r="B78" s="173" t="s">
        <v>53</v>
      </c>
    </row>
    <row r="79" spans="1:4" ht="63" customHeight="1" thickBot="1" x14ac:dyDescent="0.4">
      <c r="A79" s="236" t="s">
        <v>533</v>
      </c>
      <c r="B79" s="237"/>
    </row>
    <row r="80" spans="1:4" ht="43.5" customHeight="1" thickBot="1" x14ac:dyDescent="0.4">
      <c r="A80" s="236" t="s">
        <v>534</v>
      </c>
      <c r="B80" s="237"/>
    </row>
  </sheetData>
  <mergeCells count="34">
    <mergeCell ref="A65:B65"/>
    <mergeCell ref="A79:B79"/>
    <mergeCell ref="A80:B80"/>
    <mergeCell ref="D72:D73"/>
    <mergeCell ref="B15:B19"/>
    <mergeCell ref="A75:B75"/>
    <mergeCell ref="A76:B76"/>
    <mergeCell ref="A66:B66"/>
    <mergeCell ref="A67:B67"/>
    <mergeCell ref="A69:B69"/>
    <mergeCell ref="A70:B70"/>
    <mergeCell ref="A71:A72"/>
    <mergeCell ref="B71:B72"/>
    <mergeCell ref="A49:B49"/>
    <mergeCell ref="A50:B50"/>
    <mergeCell ref="A56:B56"/>
    <mergeCell ref="A2:B2"/>
    <mergeCell ref="A3:A5"/>
    <mergeCell ref="A6:A8"/>
    <mergeCell ref="A9:A10"/>
    <mergeCell ref="A14:B14"/>
    <mergeCell ref="B3:B4"/>
    <mergeCell ref="A30:A31"/>
    <mergeCell ref="B30:B31"/>
    <mergeCell ref="A58:B58"/>
    <mergeCell ref="A48:B48"/>
    <mergeCell ref="A20:B20"/>
    <mergeCell ref="A32:B32"/>
    <mergeCell ref="A40:A41"/>
    <mergeCell ref="B40:B41"/>
    <mergeCell ref="A24:A25"/>
    <mergeCell ref="A26:A27"/>
    <mergeCell ref="B24:B25"/>
    <mergeCell ref="B26:B27"/>
  </mergeCells>
  <hyperlinks>
    <hyperlink ref="B12" r:id="rId1" display="mailto:bank@pravex.kiev.ua"/>
    <hyperlink ref="A80" r:id="rId2" location="n1190" display="n1190"/>
  </hyperlinks>
  <pageMargins left="0.7" right="0.7" top="0.75" bottom="0.75" header="0.3" footer="0.3"/>
  <pageSetup paperSize="9" scale="90"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284"/>
  <sheetViews>
    <sheetView zoomScale="70" zoomScaleNormal="70" workbookViewId="0">
      <selection activeCell="F10" sqref="F10"/>
    </sheetView>
  </sheetViews>
  <sheetFormatPr defaultRowHeight="14.5" x14ac:dyDescent="0.35"/>
  <cols>
    <col min="1" max="1" width="4.26953125" customWidth="1"/>
    <col min="2" max="2" width="24.81640625" hidden="1" customWidth="1"/>
    <col min="3" max="3" width="33.81640625" style="5" customWidth="1"/>
    <col min="4" max="4" width="12" customWidth="1"/>
    <col min="5" max="5" width="15.81640625" hidden="1" customWidth="1"/>
    <col min="6" max="6" width="14.7265625" customWidth="1"/>
    <col min="7" max="7" width="15.54296875" customWidth="1"/>
    <col min="8" max="8" width="27.7265625" customWidth="1"/>
    <col min="9" max="9" width="13" style="5" customWidth="1"/>
    <col min="10" max="10" width="10.81640625" style="5" customWidth="1"/>
    <col min="11" max="11" width="9" style="5" customWidth="1"/>
    <col min="12" max="12" width="15.1796875" style="5" customWidth="1"/>
    <col min="13" max="13" width="14" customWidth="1"/>
    <col min="14" max="15" width="21.54296875" style="5" customWidth="1"/>
    <col min="16" max="16" width="17.54296875" style="5" customWidth="1"/>
    <col min="17" max="17" width="12.54296875" customWidth="1"/>
    <col min="18" max="18" width="12" customWidth="1"/>
    <col min="19" max="21" width="9.1796875" hidden="1" customWidth="1"/>
    <col min="22" max="22" width="10.81640625" hidden="1" customWidth="1"/>
    <col min="23" max="23" width="9.1796875" hidden="1" customWidth="1"/>
    <col min="25" max="26" width="9.1796875" customWidth="1"/>
    <col min="27" max="27" width="20.54296875" hidden="1" customWidth="1"/>
    <col min="28" max="29" width="9.1796875" hidden="1" customWidth="1"/>
  </cols>
  <sheetData>
    <row r="1" spans="1:29" s="2" customFormat="1" x14ac:dyDescent="0.35">
      <c r="A1" s="249" t="s">
        <v>105</v>
      </c>
      <c r="B1" s="249"/>
      <c r="C1" s="249"/>
      <c r="D1" s="249"/>
      <c r="E1" s="249"/>
      <c r="F1" s="249"/>
      <c r="G1" s="249"/>
      <c r="H1" s="249"/>
      <c r="I1" s="249"/>
      <c r="J1" s="249"/>
      <c r="K1" s="249"/>
      <c r="L1" s="249"/>
      <c r="M1" s="249"/>
      <c r="N1" s="249"/>
      <c r="O1" s="249"/>
      <c r="P1" s="249"/>
      <c r="Q1" s="249"/>
      <c r="R1" s="249"/>
    </row>
    <row r="2" spans="1:29" s="1" customFormat="1" x14ac:dyDescent="0.35">
      <c r="A2" s="8"/>
      <c r="B2" s="8"/>
      <c r="C2" s="9"/>
      <c r="D2" s="8"/>
      <c r="E2" s="8"/>
      <c r="F2" s="9"/>
      <c r="G2" s="7"/>
      <c r="H2" s="8"/>
      <c r="I2" s="8"/>
      <c r="J2" s="8"/>
      <c r="K2" s="8"/>
      <c r="L2" s="8"/>
      <c r="M2" s="8"/>
      <c r="N2" s="8"/>
      <c r="O2" s="8"/>
      <c r="P2" s="8"/>
      <c r="Q2" s="8"/>
      <c r="R2" s="8"/>
    </row>
    <row r="3" spans="1:29" x14ac:dyDescent="0.35">
      <c r="A3" s="8"/>
      <c r="B3" s="7" t="s">
        <v>54</v>
      </c>
      <c r="C3" s="141" t="s">
        <v>54</v>
      </c>
      <c r="D3" s="142">
        <f ca="1">F3</f>
        <v>44389</v>
      </c>
      <c r="E3" s="71"/>
      <c r="F3" s="170">
        <f ca="1">TODAY()</f>
        <v>44389</v>
      </c>
      <c r="G3" s="137"/>
      <c r="H3" s="254"/>
      <c r="I3" s="254"/>
      <c r="J3" s="254"/>
      <c r="K3" s="254"/>
      <c r="L3" s="254"/>
      <c r="M3" s="254"/>
      <c r="N3" s="114"/>
      <c r="O3" s="114"/>
      <c r="P3" s="112"/>
      <c r="Q3" s="113"/>
      <c r="R3" s="8"/>
    </row>
    <row r="4" spans="1:29" hidden="1" x14ac:dyDescent="0.35">
      <c r="A4" s="8"/>
      <c r="B4" s="7" t="s">
        <v>59</v>
      </c>
      <c r="C4" s="143" t="s">
        <v>59</v>
      </c>
      <c r="D4" s="83">
        <f t="shared" ref="D4:D9" si="0">F4</f>
        <v>1000000</v>
      </c>
      <c r="E4" s="71"/>
      <c r="F4" s="144">
        <v>1000000</v>
      </c>
      <c r="G4" s="9"/>
      <c r="H4" s="255"/>
      <c r="I4" s="255"/>
      <c r="J4" s="255"/>
      <c r="K4" s="255"/>
      <c r="L4" s="255"/>
      <c r="M4" s="255"/>
      <c r="N4" s="115"/>
      <c r="O4" s="115"/>
      <c r="P4" s="102"/>
      <c r="Q4" s="76"/>
      <c r="R4" s="8"/>
    </row>
    <row r="5" spans="1:29" hidden="1" x14ac:dyDescent="0.35">
      <c r="A5" s="8"/>
      <c r="B5" s="7" t="s">
        <v>58</v>
      </c>
      <c r="C5" s="140" t="s">
        <v>58</v>
      </c>
      <c r="D5" s="72">
        <f t="shared" si="0"/>
        <v>500000</v>
      </c>
      <c r="E5" s="71"/>
      <c r="F5" s="145">
        <v>500000</v>
      </c>
      <c r="G5" s="10"/>
      <c r="H5" s="253"/>
      <c r="I5" s="253"/>
      <c r="J5" s="253"/>
      <c r="K5" s="253"/>
      <c r="L5" s="253"/>
      <c r="M5" s="253"/>
      <c r="N5" s="253"/>
      <c r="O5" s="253"/>
      <c r="P5" s="253"/>
      <c r="Q5" s="253"/>
      <c r="R5" s="8"/>
    </row>
    <row r="6" spans="1:29" s="2" customFormat="1" hidden="1" x14ac:dyDescent="0.35">
      <c r="A6" s="8"/>
      <c r="B6" s="7" t="s">
        <v>60</v>
      </c>
      <c r="C6" s="146" t="s">
        <v>60</v>
      </c>
      <c r="D6" s="82">
        <f t="shared" si="0"/>
        <v>0.5</v>
      </c>
      <c r="E6" s="87"/>
      <c r="F6" s="147">
        <f>F5/F4</f>
        <v>0.5</v>
      </c>
      <c r="G6" s="11"/>
      <c r="H6" s="255"/>
      <c r="I6" s="255"/>
      <c r="J6" s="255"/>
      <c r="K6" s="255"/>
      <c r="L6" s="255"/>
      <c r="M6" s="255"/>
      <c r="N6" s="115"/>
      <c r="O6" s="115"/>
      <c r="P6" s="102"/>
      <c r="Q6" s="70"/>
      <c r="R6" s="8"/>
    </row>
    <row r="7" spans="1:29" x14ac:dyDescent="0.35">
      <c r="A7" s="8"/>
      <c r="B7" s="7" t="s">
        <v>57</v>
      </c>
      <c r="C7" s="148" t="s">
        <v>57</v>
      </c>
      <c r="D7" s="109">
        <f t="shared" si="0"/>
        <v>300000</v>
      </c>
      <c r="E7" s="89"/>
      <c r="F7" s="151">
        <v>300000</v>
      </c>
      <c r="G7" s="138"/>
      <c r="H7" s="250" t="s">
        <v>529</v>
      </c>
      <c r="I7" s="251"/>
      <c r="J7" s="251"/>
      <c r="K7" s="251"/>
      <c r="L7" s="251"/>
      <c r="M7" s="252"/>
      <c r="N7" s="122"/>
      <c r="O7" s="122"/>
      <c r="P7" s="256">
        <v>0.02</v>
      </c>
      <c r="Q7" s="257"/>
      <c r="R7" s="9"/>
      <c r="AA7" t="s">
        <v>116</v>
      </c>
    </row>
    <row r="8" spans="1:29" x14ac:dyDescent="0.35">
      <c r="A8" s="8"/>
      <c r="B8" s="7" t="s">
        <v>56</v>
      </c>
      <c r="C8" s="148" t="s">
        <v>56</v>
      </c>
      <c r="D8" s="109">
        <f t="shared" si="0"/>
        <v>60</v>
      </c>
      <c r="E8" s="88"/>
      <c r="F8" s="152">
        <v>60</v>
      </c>
      <c r="G8" s="138"/>
      <c r="H8" s="250" t="s">
        <v>70</v>
      </c>
      <c r="I8" s="251"/>
      <c r="J8" s="251"/>
      <c r="K8" s="251"/>
      <c r="L8" s="251"/>
      <c r="M8" s="252"/>
      <c r="N8" s="124"/>
      <c r="O8" s="124"/>
      <c r="P8" s="258">
        <f>P7*F7</f>
        <v>6000</v>
      </c>
      <c r="Q8" s="259"/>
      <c r="R8" s="169"/>
      <c r="T8" t="s">
        <v>103</v>
      </c>
      <c r="AA8" s="8" t="s">
        <v>117</v>
      </c>
      <c r="AB8" s="5" t="s">
        <v>77</v>
      </c>
      <c r="AC8" s="5">
        <v>1700</v>
      </c>
    </row>
    <row r="9" spans="1:29" x14ac:dyDescent="0.35">
      <c r="A9" s="8"/>
      <c r="B9" s="7" t="s">
        <v>55</v>
      </c>
      <c r="C9" s="149" t="s">
        <v>55</v>
      </c>
      <c r="D9" s="150">
        <f t="shared" si="0"/>
        <v>0.2999</v>
      </c>
      <c r="E9" s="71"/>
      <c r="F9" s="212">
        <v>0.2999</v>
      </c>
      <c r="G9" s="139">
        <f>F21+F22</f>
        <v>0.1888</v>
      </c>
      <c r="H9" s="250" t="s">
        <v>121</v>
      </c>
      <c r="I9" s="251"/>
      <c r="J9" s="251"/>
      <c r="K9" s="251"/>
      <c r="L9" s="251"/>
      <c r="M9" s="252"/>
      <c r="N9" s="122"/>
      <c r="O9" s="122"/>
      <c r="P9" s="258">
        <v>0</v>
      </c>
      <c r="Q9" s="259"/>
      <c r="R9" s="9"/>
      <c r="T9" t="s">
        <v>104</v>
      </c>
    </row>
    <row r="10" spans="1:29" s="5" customFormat="1" x14ac:dyDescent="0.35">
      <c r="A10" s="8"/>
      <c r="B10" s="7"/>
      <c r="C10" s="136"/>
      <c r="D10" s="116"/>
      <c r="E10" s="9"/>
      <c r="F10" s="117"/>
      <c r="G10" s="118"/>
      <c r="H10" s="263" t="s">
        <v>131</v>
      </c>
      <c r="I10" s="264"/>
      <c r="J10" s="264"/>
      <c r="K10" s="264"/>
      <c r="L10" s="264"/>
      <c r="M10" s="265"/>
      <c r="N10" s="124"/>
      <c r="O10" s="124"/>
      <c r="P10" s="266">
        <v>4.0000000000000001E-3</v>
      </c>
      <c r="Q10" s="267"/>
      <c r="R10" s="9"/>
    </row>
    <row r="11" spans="1:29" s="5" customFormat="1" x14ac:dyDescent="0.35">
      <c r="A11" s="8"/>
      <c r="B11" s="7"/>
      <c r="C11" s="136"/>
      <c r="D11" s="116"/>
      <c r="E11" s="9"/>
      <c r="F11" s="117"/>
      <c r="G11" s="118"/>
      <c r="H11" s="263" t="s">
        <v>132</v>
      </c>
      <c r="I11" s="264"/>
      <c r="J11" s="264"/>
      <c r="K11" s="264"/>
      <c r="L11" s="264"/>
      <c r="M11" s="265"/>
      <c r="N11" s="124"/>
      <c r="O11" s="124"/>
      <c r="P11" s="258">
        <f>F7*P10</f>
        <v>1200</v>
      </c>
      <c r="Q11" s="259"/>
      <c r="R11" s="154">
        <f>P11</f>
        <v>1200</v>
      </c>
    </row>
    <row r="12" spans="1:29" s="5" customFormat="1" x14ac:dyDescent="0.35">
      <c r="A12" s="8"/>
      <c r="B12" s="7"/>
      <c r="C12" s="136"/>
      <c r="D12" s="116"/>
      <c r="E12" s="9"/>
      <c r="F12" s="117"/>
      <c r="G12" s="118"/>
      <c r="H12" s="268" t="s">
        <v>126</v>
      </c>
      <c r="I12" s="125" t="s">
        <v>133</v>
      </c>
      <c r="J12" s="126"/>
      <c r="K12" s="126"/>
      <c r="L12" s="126"/>
      <c r="M12" s="127"/>
      <c r="N12" s="124"/>
      <c r="O12" s="124"/>
      <c r="P12" s="271">
        <v>0</v>
      </c>
      <c r="Q12" s="272"/>
      <c r="R12" s="155">
        <f>P12</f>
        <v>0</v>
      </c>
    </row>
    <row r="13" spans="1:29" s="5" customFormat="1" x14ac:dyDescent="0.35">
      <c r="A13" s="8"/>
      <c r="B13" s="7"/>
      <c r="C13" s="136"/>
      <c r="D13" s="116"/>
      <c r="E13" s="9"/>
      <c r="F13" s="117"/>
      <c r="G13" s="118"/>
      <c r="H13" s="269"/>
      <c r="I13" s="128" t="s">
        <v>134</v>
      </c>
      <c r="J13" s="126"/>
      <c r="K13" s="126"/>
      <c r="L13" s="126"/>
      <c r="M13" s="127"/>
      <c r="N13" s="124"/>
      <c r="O13" s="124"/>
      <c r="P13" s="271">
        <v>0</v>
      </c>
      <c r="Q13" s="272"/>
      <c r="R13" s="154">
        <f>P13</f>
        <v>0</v>
      </c>
    </row>
    <row r="14" spans="1:29" s="5" customFormat="1" x14ac:dyDescent="0.35">
      <c r="A14" s="8"/>
      <c r="B14" s="7"/>
      <c r="C14" s="136"/>
      <c r="D14" s="116"/>
      <c r="E14" s="9"/>
      <c r="F14" s="117"/>
      <c r="G14" s="118"/>
      <c r="H14" s="269"/>
      <c r="I14" s="128" t="s">
        <v>135</v>
      </c>
      <c r="J14" s="126"/>
      <c r="K14" s="126"/>
      <c r="L14" s="126"/>
      <c r="M14" s="127"/>
      <c r="N14" s="124"/>
      <c r="O14" s="124" t="s">
        <v>136</v>
      </c>
      <c r="P14" s="210">
        <v>0</v>
      </c>
      <c r="Q14" s="211">
        <f>F7*P14</f>
        <v>0</v>
      </c>
      <c r="R14" s="154">
        <f>Q14</f>
        <v>0</v>
      </c>
    </row>
    <row r="15" spans="1:29" s="5" customFormat="1" x14ac:dyDescent="0.35">
      <c r="A15" s="8"/>
      <c r="B15" s="7"/>
      <c r="C15" s="136"/>
      <c r="D15" s="116"/>
      <c r="E15" s="9"/>
      <c r="F15" s="117"/>
      <c r="G15" s="118"/>
      <c r="H15" s="269"/>
      <c r="I15" s="128"/>
      <c r="J15" s="126"/>
      <c r="K15" s="126"/>
      <c r="L15" s="126"/>
      <c r="M15" s="127"/>
      <c r="N15" s="124"/>
      <c r="O15" s="124" t="s">
        <v>137</v>
      </c>
      <c r="P15" s="210">
        <v>0</v>
      </c>
      <c r="Q15" s="211">
        <f>F7*P15</f>
        <v>0</v>
      </c>
      <c r="R15" s="154">
        <f>Q15</f>
        <v>0</v>
      </c>
    </row>
    <row r="16" spans="1:29" s="5" customFormat="1" x14ac:dyDescent="0.35">
      <c r="A16" s="8"/>
      <c r="B16" s="7"/>
      <c r="C16" s="136"/>
      <c r="D16" s="116"/>
      <c r="E16" s="9"/>
      <c r="F16" s="117"/>
      <c r="G16" s="118"/>
      <c r="H16" s="270"/>
      <c r="I16" s="128" t="s">
        <v>138</v>
      </c>
      <c r="J16" s="126"/>
      <c r="K16" s="126"/>
      <c r="L16" s="126"/>
      <c r="M16" s="127"/>
      <c r="N16" s="124"/>
      <c r="O16" s="124"/>
      <c r="P16" s="271">
        <v>0</v>
      </c>
      <c r="Q16" s="272"/>
      <c r="R16" s="154">
        <f>P16</f>
        <v>0</v>
      </c>
    </row>
    <row r="17" spans="1:29" s="5" customFormat="1" x14ac:dyDescent="0.35">
      <c r="A17" s="8"/>
      <c r="B17" s="7"/>
      <c r="C17" s="136"/>
      <c r="D17" s="116"/>
      <c r="E17" s="9"/>
      <c r="F17" s="117"/>
      <c r="G17" s="118"/>
      <c r="H17" s="263" t="s">
        <v>139</v>
      </c>
      <c r="I17" s="264"/>
      <c r="J17" s="264"/>
      <c r="K17" s="264"/>
      <c r="L17" s="264"/>
      <c r="M17" s="265"/>
      <c r="N17" s="124"/>
      <c r="O17" s="124" t="s">
        <v>140</v>
      </c>
      <c r="P17" s="273">
        <v>0</v>
      </c>
      <c r="Q17" s="274"/>
      <c r="R17" s="154">
        <f>P17</f>
        <v>0</v>
      </c>
    </row>
    <row r="18" spans="1:29" s="5" customFormat="1" x14ac:dyDescent="0.35">
      <c r="A18" s="8"/>
      <c r="B18" s="7"/>
      <c r="C18" s="136"/>
      <c r="D18" s="116"/>
      <c r="E18" s="9"/>
      <c r="F18" s="117"/>
      <c r="G18" s="118"/>
      <c r="H18" s="119"/>
      <c r="I18" s="119"/>
      <c r="J18" s="119"/>
      <c r="K18" s="119"/>
      <c r="L18" s="119"/>
      <c r="M18" s="119"/>
      <c r="N18" s="119"/>
      <c r="O18" s="119"/>
      <c r="P18" s="120"/>
      <c r="Q18" s="120"/>
      <c r="R18" s="9"/>
    </row>
    <row r="19" spans="1:29" ht="17.25" hidden="1" customHeight="1" x14ac:dyDescent="0.35">
      <c r="A19" s="8"/>
      <c r="B19" s="8"/>
      <c r="C19" s="96"/>
      <c r="D19" s="73">
        <f ca="1">EDATE(D3,F8)</f>
        <v>46215</v>
      </c>
      <c r="E19" s="9"/>
      <c r="F19" s="85"/>
      <c r="G19" s="12"/>
      <c r="H19" s="121"/>
      <c r="I19" s="121"/>
      <c r="J19" s="121"/>
      <c r="K19" s="121"/>
      <c r="L19" s="121"/>
      <c r="M19" s="123"/>
      <c r="N19" s="123"/>
      <c r="O19" s="123"/>
      <c r="P19" s="123"/>
      <c r="Q19" s="70"/>
      <c r="R19" s="12"/>
      <c r="S19" s="6"/>
      <c r="AC19" s="5">
        <f>F4/AC8</f>
        <v>588.23529411764707</v>
      </c>
    </row>
    <row r="20" spans="1:29" s="5" customFormat="1" ht="17.25" hidden="1" customHeight="1" x14ac:dyDescent="0.35">
      <c r="A20" s="8"/>
      <c r="B20" s="8"/>
      <c r="C20" s="94" t="s">
        <v>74</v>
      </c>
      <c r="D20" s="246" t="str">
        <f>F23</f>
        <v xml:space="preserve">Фіксова на весь строк </v>
      </c>
      <c r="E20" s="247"/>
      <c r="F20" s="248"/>
      <c r="G20" s="97"/>
      <c r="H20" s="129" t="s">
        <v>113</v>
      </c>
      <c r="I20" s="130"/>
      <c r="J20" s="130"/>
      <c r="K20" s="130"/>
      <c r="L20" s="130"/>
      <c r="M20" s="131"/>
      <c r="N20" s="131"/>
      <c r="O20" s="131"/>
      <c r="P20" s="131"/>
      <c r="Q20" s="132"/>
      <c r="R20" s="99"/>
      <c r="S20" s="6"/>
    </row>
    <row r="21" spans="1:29" s="3" customFormat="1" ht="18.75" hidden="1" customHeight="1" x14ac:dyDescent="0.35">
      <c r="A21" s="8"/>
      <c r="B21" s="8"/>
      <c r="C21" s="94" t="s">
        <v>115</v>
      </c>
      <c r="D21" s="90"/>
      <c r="E21" s="86"/>
      <c r="F21" s="91">
        <v>0.1588</v>
      </c>
      <c r="G21" s="98"/>
      <c r="H21" s="130" t="s">
        <v>114</v>
      </c>
      <c r="I21" s="130"/>
      <c r="J21" s="130"/>
      <c r="K21" s="130"/>
      <c r="L21" s="130"/>
      <c r="M21" s="133"/>
      <c r="N21" s="133"/>
      <c r="O21" s="133"/>
      <c r="P21" s="133"/>
      <c r="Q21" s="134">
        <f>IF(M21="наявне",F7*F8*0.12%,0)</f>
        <v>0</v>
      </c>
      <c r="R21" s="98"/>
      <c r="S21" s="6"/>
    </row>
    <row r="22" spans="1:29" s="5" customFormat="1" ht="15.75" hidden="1" customHeight="1" x14ac:dyDescent="0.35">
      <c r="A22" s="81"/>
      <c r="B22" s="8"/>
      <c r="C22" s="95" t="s">
        <v>73</v>
      </c>
      <c r="D22" s="92"/>
      <c r="E22" s="92"/>
      <c r="F22" s="93">
        <v>0.03</v>
      </c>
      <c r="G22" s="84"/>
      <c r="H22" s="123"/>
      <c r="I22" s="123"/>
      <c r="J22" s="123"/>
      <c r="K22" s="123"/>
      <c r="L22" s="123"/>
      <c r="M22" s="123"/>
      <c r="N22" s="123"/>
      <c r="O22" s="123"/>
      <c r="P22" s="123"/>
      <c r="Q22" s="123"/>
      <c r="R22" s="13"/>
      <c r="S22" s="4"/>
    </row>
    <row r="23" spans="1:29" s="5" customFormat="1" hidden="1" x14ac:dyDescent="0.35">
      <c r="A23" s="8"/>
      <c r="B23" s="8"/>
      <c r="C23" s="80" t="s">
        <v>74</v>
      </c>
      <c r="D23" s="8"/>
      <c r="E23" s="8"/>
      <c r="F23" s="69" t="str">
        <f>IF(F8&gt;60,EDATE(F3,60),"Фіксова на весь строк ")</f>
        <v xml:space="preserve">Фіксова на весь строк </v>
      </c>
      <c r="G23" s="13"/>
      <c r="H23" s="123"/>
      <c r="I23" s="123"/>
      <c r="J23" s="123"/>
      <c r="K23" s="123"/>
      <c r="L23" s="123"/>
      <c r="M23" s="123"/>
      <c r="N23" s="123"/>
      <c r="O23" s="123"/>
      <c r="P23" s="123"/>
      <c r="Q23" s="123"/>
      <c r="R23" s="13"/>
      <c r="S23" s="4"/>
    </row>
    <row r="24" spans="1:29" hidden="1" x14ac:dyDescent="0.35">
      <c r="A24" s="8"/>
      <c r="B24" s="8"/>
      <c r="C24" s="74" t="s">
        <v>109</v>
      </c>
      <c r="D24" s="74"/>
      <c r="E24" s="74"/>
      <c r="F24" s="75">
        <f>F21+F22</f>
        <v>0.1888</v>
      </c>
      <c r="G24" s="12"/>
      <c r="H24" s="121"/>
      <c r="I24" s="121"/>
      <c r="J24" s="121"/>
      <c r="K24" s="121"/>
      <c r="L24" s="121"/>
      <c r="M24" s="135"/>
      <c r="N24" s="135"/>
      <c r="O24" s="135"/>
      <c r="P24" s="135"/>
      <c r="Q24" s="70"/>
      <c r="R24" s="12"/>
      <c r="S24" s="6"/>
      <c r="AC24" t="str">
        <f>IF(AC19&lt;165,"3%",IF(AC19&gt;290,"5%","4%"))</f>
        <v>5%</v>
      </c>
    </row>
    <row r="25" spans="1:29" s="3" customFormat="1" ht="15" thickBot="1" x14ac:dyDescent="0.4">
      <c r="A25" s="79"/>
      <c r="B25" s="8"/>
      <c r="C25" s="79"/>
      <c r="D25" s="79"/>
      <c r="E25" s="8"/>
      <c r="F25" s="9"/>
      <c r="G25" s="78"/>
      <c r="H25" s="78"/>
      <c r="I25" s="78"/>
      <c r="J25" s="78"/>
      <c r="K25" s="78"/>
      <c r="L25" s="78"/>
      <c r="M25" s="78"/>
      <c r="N25" s="78"/>
      <c r="O25" s="78"/>
      <c r="P25" s="78"/>
      <c r="Q25" s="78"/>
      <c r="R25" s="13"/>
      <c r="S25" s="4"/>
    </row>
    <row r="26" spans="1:29" s="3" customFormat="1" ht="48" x14ac:dyDescent="0.35">
      <c r="A26" s="103" t="s">
        <v>61</v>
      </c>
      <c r="B26" s="104" t="s">
        <v>62</v>
      </c>
      <c r="C26" s="105" t="s">
        <v>62</v>
      </c>
      <c r="D26" s="105" t="s">
        <v>63</v>
      </c>
      <c r="E26" s="104" t="s">
        <v>64</v>
      </c>
      <c r="F26" s="107" t="s">
        <v>66</v>
      </c>
      <c r="G26" s="106" t="s">
        <v>67</v>
      </c>
      <c r="H26" s="107" t="s">
        <v>68</v>
      </c>
      <c r="I26" s="260" t="s">
        <v>126</v>
      </c>
      <c r="J26" s="261"/>
      <c r="K26" s="261"/>
      <c r="L26" s="262"/>
      <c r="M26" s="107" t="s">
        <v>69</v>
      </c>
      <c r="N26" s="105" t="s">
        <v>141</v>
      </c>
      <c r="O26" s="107" t="s">
        <v>142</v>
      </c>
      <c r="P26" s="105" t="s">
        <v>123</v>
      </c>
      <c r="Q26" s="108" t="s">
        <v>119</v>
      </c>
      <c r="R26" s="105" t="s">
        <v>118</v>
      </c>
      <c r="S26" s="4"/>
    </row>
    <row r="27" spans="1:29" s="5" customFormat="1" ht="26.25" customHeight="1" x14ac:dyDescent="0.35">
      <c r="A27" s="108"/>
      <c r="B27" s="108"/>
      <c r="C27" s="108"/>
      <c r="D27" s="108"/>
      <c r="E27" s="108"/>
      <c r="F27" s="108"/>
      <c r="G27" s="108"/>
      <c r="H27" s="108"/>
      <c r="I27" s="105" t="s">
        <v>127</v>
      </c>
      <c r="J27" s="105" t="s">
        <v>128</v>
      </c>
      <c r="K27" s="105" t="s">
        <v>129</v>
      </c>
      <c r="L27" s="105" t="s">
        <v>130</v>
      </c>
      <c r="M27" s="108"/>
      <c r="N27" s="108"/>
      <c r="O27" s="108"/>
      <c r="P27" s="108"/>
      <c r="Q27" s="108"/>
      <c r="R27" s="108"/>
      <c r="S27" s="4"/>
    </row>
    <row r="28" spans="1:29" s="5" customFormat="1" ht="12" customHeight="1" x14ac:dyDescent="0.35">
      <c r="A28" s="18"/>
      <c r="B28" s="19">
        <f ca="1">D3</f>
        <v>44389</v>
      </c>
      <c r="C28" s="19">
        <f t="shared" ref="C28:C29" ca="1" si="1">IF(A28&gt;$D$8,"",B28)</f>
        <v>44389</v>
      </c>
      <c r="D28" s="18"/>
      <c r="E28" s="20">
        <f>IF(R8="кредит",D7+P8,D7)</f>
        <v>300000</v>
      </c>
      <c r="F28" s="18"/>
      <c r="G28" s="18"/>
      <c r="H28" s="65">
        <f>-E28+M28+P9+I28+J28+K28+L28+N28+O28</f>
        <v>-292800</v>
      </c>
      <c r="I28" s="153">
        <f>R12</f>
        <v>0</v>
      </c>
      <c r="J28" s="153">
        <f>R13</f>
        <v>0</v>
      </c>
      <c r="K28" s="153">
        <f>R14+R15</f>
        <v>0</v>
      </c>
      <c r="L28" s="153">
        <f>R16</f>
        <v>0</v>
      </c>
      <c r="M28" s="20">
        <f>P8</f>
        <v>6000</v>
      </c>
      <c r="N28" s="20">
        <f>R11</f>
        <v>1200</v>
      </c>
      <c r="O28" s="20">
        <f>R17</f>
        <v>0</v>
      </c>
      <c r="P28" s="20">
        <f>P9</f>
        <v>0</v>
      </c>
      <c r="Q28" s="21"/>
      <c r="R28" s="22"/>
      <c r="S28" s="17"/>
      <c r="T28" s="14">
        <f ca="1">T29</f>
        <v>365</v>
      </c>
      <c r="U28" s="14"/>
      <c r="V28" s="14"/>
      <c r="W28" s="14"/>
      <c r="X28" s="14"/>
    </row>
    <row r="29" spans="1:29" x14ac:dyDescent="0.35">
      <c r="A29" s="23">
        <v>1</v>
      </c>
      <c r="B29" s="19">
        <f ca="1">EDATE($B$28,1)</f>
        <v>44420</v>
      </c>
      <c r="C29" s="19">
        <f t="shared" ca="1" si="1"/>
        <v>44420</v>
      </c>
      <c r="D29" s="23">
        <f t="shared" ref="D29:D40" ca="1" si="2">B29-B28</f>
        <v>31</v>
      </c>
      <c r="E29" s="20">
        <f>E28-F29</f>
        <v>295000</v>
      </c>
      <c r="F29" s="20">
        <f t="shared" ref="F29" si="3">$E$28/$D$8</f>
        <v>5000</v>
      </c>
      <c r="G29" s="20">
        <f ca="1">IF(T29&lt;&gt;T28,ROUND(SUM(V29*$F$9*E28/T29,W29*$F$9*E28/T28),2),ROUND(E28*$F$9*D29/T28,2))</f>
        <v>7641.29</v>
      </c>
      <c r="H29" s="20">
        <f ca="1">F29+G29</f>
        <v>12641.29</v>
      </c>
      <c r="I29" s="20"/>
      <c r="J29" s="20"/>
      <c r="K29" s="20"/>
      <c r="L29" s="20"/>
      <c r="M29" s="23"/>
      <c r="N29" s="23"/>
      <c r="O29" s="23"/>
      <c r="P29" s="23"/>
      <c r="Q29" s="24" t="str">
        <f>IF(A28=$D$8,XIRR(H$28:H28,C$28:C28),"")</f>
        <v/>
      </c>
      <c r="R29" s="20" t="str">
        <f t="shared" ref="R29" si="4">IF(A28=$D$8,G29+M29+H29,"")</f>
        <v/>
      </c>
      <c r="S29" s="14">
        <f ca="1">IF(C29="","",YEAR(C29))</f>
        <v>2021</v>
      </c>
      <c r="T29" s="14">
        <f ca="1">IF(OR(S29=2024,S29=2028,S29=2016,S29=2020),366,365)</f>
        <v>365</v>
      </c>
      <c r="U29" s="14">
        <f ca="1">IF(C29="","",DAY(C29))</f>
        <v>12</v>
      </c>
      <c r="V29" s="15">
        <f ca="1">U29-1</f>
        <v>11</v>
      </c>
      <c r="W29" s="16">
        <f ca="1">D29-V29</f>
        <v>20</v>
      </c>
      <c r="X29" s="14"/>
    </row>
    <row r="30" spans="1:29" x14ac:dyDescent="0.35">
      <c r="A30" s="23">
        <f>IF(A29&lt;$D$8,A29+1,"")</f>
        <v>2</v>
      </c>
      <c r="B30" s="19">
        <f ca="1">EDATE($B$28,2)</f>
        <v>44451</v>
      </c>
      <c r="C30" s="19">
        <f t="shared" ref="C30:C93" ca="1" si="5">IF(B30=$D$19,B30-1,(IF(B30&gt;$D$19," ",B30)))</f>
        <v>44451</v>
      </c>
      <c r="D30" s="23">
        <f t="shared" ca="1" si="2"/>
        <v>31</v>
      </c>
      <c r="E30" s="20">
        <f>E29-F30</f>
        <v>290000</v>
      </c>
      <c r="F30" s="20">
        <f>ROUND($E$28/$D$8,2)</f>
        <v>5000</v>
      </c>
      <c r="G30" s="20">
        <f ca="1">IF(A29=$D$8,ROUND(SUM($G$29:G29),2),IF(A30&gt;$F$8,"",IF(T30&lt;&gt;T29,ROUND(SUM(V30*$F$9*E29/T30,W30*$F$9*E29/T29),2),ROUND(E29*$F$9*D30/T29,2))))</f>
        <v>7513.93</v>
      </c>
      <c r="H30" s="20">
        <f ca="1">IF(A29=$D$8,SUM(H7:H29),IF(A29&gt;$D$8,"",F30+G30))</f>
        <v>12513.93</v>
      </c>
      <c r="I30" s="20"/>
      <c r="J30" s="20"/>
      <c r="K30" s="20"/>
      <c r="L30" s="20"/>
      <c r="M30" s="23"/>
      <c r="N30" s="23"/>
      <c r="O30" s="23"/>
      <c r="P30" s="23"/>
      <c r="Q30" s="66" t="str">
        <f>IF(A29=$D$8,XIRR(H$28:H29,C$28:C29),"")</f>
        <v/>
      </c>
      <c r="R30" s="20" t="str">
        <f t="shared" ref="R30:R88" si="6">IF(A29=$D$8,G30+M30+F30+I30+J30+K30+L30+N30+O30,"")</f>
        <v/>
      </c>
      <c r="S30" s="14">
        <f t="shared" ref="S30:S93" ca="1" si="7">IF(C30="","",YEAR(C30))</f>
        <v>2021</v>
      </c>
      <c r="T30" s="14">
        <f t="shared" ref="T30:T93" ca="1" si="8">IF(OR(S30=2024,S30=2028,S30=2016,S30=2020),366,365)</f>
        <v>365</v>
      </c>
      <c r="U30" s="14">
        <f t="shared" ref="U30:U88" ca="1" si="9">IF(C30="","",DAY(C30))</f>
        <v>12</v>
      </c>
      <c r="V30" s="15">
        <f t="shared" ref="V30:V88" ca="1" si="10">U30-1</f>
        <v>11</v>
      </c>
      <c r="W30" s="16">
        <f t="shared" ref="W30:W88" ca="1" si="11">D30-V30</f>
        <v>20</v>
      </c>
      <c r="X30" s="14"/>
    </row>
    <row r="31" spans="1:29" x14ac:dyDescent="0.35">
      <c r="A31" s="23">
        <f t="shared" ref="A31:A94" si="12">IF(A30&lt;$D$8,A30+1,"")</f>
        <v>3</v>
      </c>
      <c r="B31" s="19">
        <f ca="1">EDATE($B$28,3)</f>
        <v>44481</v>
      </c>
      <c r="C31" s="19">
        <f t="shared" ca="1" si="5"/>
        <v>44481</v>
      </c>
      <c r="D31" s="23">
        <f t="shared" ca="1" si="2"/>
        <v>30</v>
      </c>
      <c r="E31" s="20">
        <f t="shared" ref="E31:E40" si="13">E30-F31</f>
        <v>285000</v>
      </c>
      <c r="F31" s="20">
        <f>IF(AND(A30="",A32=""),"",IF(A31="",ROUND(SUM($F$29:F30),2),IF(A31=$D$8,$E$28-ROUND(SUM($F$29:F30),2),ROUND($E$28/$D$8,2))))</f>
        <v>5000</v>
      </c>
      <c r="G31" s="20">
        <f ca="1">IF(A30=$D$8,ROUND(SUM($G$29:G30),2),IF(A31&gt;$F$8,"",IF(T31&lt;&gt;T30,ROUND(SUM(V31*$F$9*E30/T31,W31*$F$9*E30/T30),2),ROUND(E30*$F$9*D31/T30,2))))</f>
        <v>7148.3</v>
      </c>
      <c r="H31" s="20">
        <f ca="1">IF(A30=$D$8,SUM(H8:H30),IF(A30&gt;$D$8,"",F31+G31))</f>
        <v>12148.3</v>
      </c>
      <c r="I31" s="20"/>
      <c r="J31" s="20"/>
      <c r="K31" s="20"/>
      <c r="L31" s="20"/>
      <c r="M31" s="23"/>
      <c r="N31" s="23"/>
      <c r="O31" s="23"/>
      <c r="P31" s="23"/>
      <c r="Q31" s="66" t="str">
        <f>IF(A30=$D$8,XIRR(H$28:H30,C$28:C30),"")</f>
        <v/>
      </c>
      <c r="R31" s="20" t="str">
        <f t="shared" si="6"/>
        <v/>
      </c>
      <c r="S31" s="14">
        <f t="shared" ca="1" si="7"/>
        <v>2021</v>
      </c>
      <c r="T31" s="14">
        <f t="shared" ca="1" si="8"/>
        <v>365</v>
      </c>
      <c r="U31" s="14">
        <f t="shared" ca="1" si="9"/>
        <v>12</v>
      </c>
      <c r="V31" s="15">
        <f t="shared" ca="1" si="10"/>
        <v>11</v>
      </c>
      <c r="W31" s="16">
        <f t="shared" ca="1" si="11"/>
        <v>19</v>
      </c>
      <c r="X31" s="14"/>
    </row>
    <row r="32" spans="1:29" x14ac:dyDescent="0.35">
      <c r="A32" s="23">
        <f t="shared" si="12"/>
        <v>4</v>
      </c>
      <c r="B32" s="19">
        <f ca="1">EDATE($B$28,4)</f>
        <v>44512</v>
      </c>
      <c r="C32" s="19">
        <f t="shared" ca="1" si="5"/>
        <v>44512</v>
      </c>
      <c r="D32" s="23">
        <f t="shared" ca="1" si="2"/>
        <v>31</v>
      </c>
      <c r="E32" s="20">
        <f t="shared" si="13"/>
        <v>280000</v>
      </c>
      <c r="F32" s="20">
        <f>IF(AND(A31="",A33=""),"",IF(A32="",ROUND(SUM($F$29:F31),2),IF(A32=$D$8,$E$28-ROUND(SUM($F$29:F31),2),ROUND($E$28/$D$8,2))))</f>
        <v>5000</v>
      </c>
      <c r="G32" s="20">
        <f ca="1">IF(A31=$D$8,ROUND(SUM($G$29:G31),2),IF(A32&gt;$F$8,"",IF(T32&lt;&gt;T31,ROUND(SUM(V32*$F$9*E31/T32,W32*$F$9*E31/T31),2),ROUND(E31*$F$9*D32/T31,2))))</f>
        <v>7259.22</v>
      </c>
      <c r="H32" s="20">
        <f ca="1">IF(A31=$D$8,SUM(H9:H31),IF(A31&gt;$D$8,"",F32+G32))</f>
        <v>12259.220000000001</v>
      </c>
      <c r="I32" s="20" t="str">
        <f>IF(A31=$D$8,$I$28,"")</f>
        <v/>
      </c>
      <c r="J32" s="20" t="str">
        <f>IF(A31=$D$8,$J$28,"")</f>
        <v/>
      </c>
      <c r="K32" s="20" t="str">
        <f>IF(A31=$D$8,$K$28,"")</f>
        <v/>
      </c>
      <c r="L32" s="153" t="str">
        <f>IF(A31=$D$8,$L$28,"")</f>
        <v/>
      </c>
      <c r="M32" s="20" t="str">
        <f>IF(A31=$D$8,$M$28,"")</f>
        <v/>
      </c>
      <c r="N32" s="20" t="str">
        <f>IF(A31=$D$8,$N$28,"")</f>
        <v/>
      </c>
      <c r="O32" s="20" t="str">
        <f>IF(A31=$D$8,$O$28,"")</f>
        <v/>
      </c>
      <c r="P32" s="20"/>
      <c r="Q32" s="66" t="str">
        <f>IF(A31=$D$8,XIRR(H$28:H31,C$28:C31),"")</f>
        <v/>
      </c>
      <c r="R32" s="20" t="str">
        <f t="shared" si="6"/>
        <v/>
      </c>
      <c r="S32" s="14">
        <f t="shared" ca="1" si="7"/>
        <v>2021</v>
      </c>
      <c r="T32" s="14">
        <f t="shared" ca="1" si="8"/>
        <v>365</v>
      </c>
      <c r="U32" s="14">
        <f t="shared" ca="1" si="9"/>
        <v>12</v>
      </c>
      <c r="V32" s="15">
        <f t="shared" ca="1" si="10"/>
        <v>11</v>
      </c>
      <c r="W32" s="16">
        <f t="shared" ca="1" si="11"/>
        <v>20</v>
      </c>
      <c r="X32" s="14"/>
    </row>
    <row r="33" spans="1:24" x14ac:dyDescent="0.35">
      <c r="A33" s="23">
        <f t="shared" si="12"/>
        <v>5</v>
      </c>
      <c r="B33" s="19">
        <f ca="1">EDATE($B$28,5)</f>
        <v>44542</v>
      </c>
      <c r="C33" s="19">
        <f t="shared" ca="1" si="5"/>
        <v>44542</v>
      </c>
      <c r="D33" s="23">
        <f t="shared" ca="1" si="2"/>
        <v>30</v>
      </c>
      <c r="E33" s="20">
        <f t="shared" si="13"/>
        <v>275000</v>
      </c>
      <c r="F33" s="20">
        <f>IF(AND(A32="",A34=""),"",IF(A33="",ROUND(SUM($F$29:F32),2),IF(A33=$D$8,$E$28-ROUND(SUM($F$29:F32),2),ROUND($E$28/$D$8,2))))</f>
        <v>5000</v>
      </c>
      <c r="G33" s="20">
        <f ca="1">IF(A32=$D$8,ROUND(SUM($G$29:G32),2),IF(A33&gt;$F$8,"",IF(T33&lt;&gt;T32,ROUND(SUM(V33*$F$9*E32/T33,W33*$F$9*E32/T32),2),ROUND(E32*$F$9*D33/T32,2))))</f>
        <v>6901.81</v>
      </c>
      <c r="H33" s="20">
        <f ca="1">IF(A32=$D$8,SUM(H19:H32),IF(A32&gt;$D$8,"",F33+G33))</f>
        <v>11901.810000000001</v>
      </c>
      <c r="I33" s="20" t="str">
        <f t="shared" ref="I33:I36" si="14">IF(A32=$D$8,$I$28,"")</f>
        <v/>
      </c>
      <c r="J33" s="20" t="str">
        <f t="shared" ref="J33:J36" si="15">IF(A32=$D$8,$J$28,"")</f>
        <v/>
      </c>
      <c r="K33" s="20" t="str">
        <f t="shared" ref="K33:K36" si="16">IF(A32=$D$8,$K$28,"")</f>
        <v/>
      </c>
      <c r="L33" s="153" t="str">
        <f t="shared" ref="L33:L36" si="17">IF(A32=$D$8,$L$28,"")</f>
        <v/>
      </c>
      <c r="M33" s="20" t="str">
        <f>IF(A32=$D$8,$M$28,"")</f>
        <v/>
      </c>
      <c r="N33" s="20" t="str">
        <f t="shared" ref="N33:N89" si="18">IF(A32=$D$8,$N$28,"")</f>
        <v/>
      </c>
      <c r="O33" s="20" t="str">
        <f t="shared" ref="O33:O89" si="19">IF(A32=$D$8,$O$28,"")</f>
        <v/>
      </c>
      <c r="P33" s="20"/>
      <c r="Q33" s="66" t="str">
        <f>IF(A32=$D$8,XIRR(H$28:H32,C$28:C32),"")</f>
        <v/>
      </c>
      <c r="R33" s="20" t="str">
        <f t="shared" si="6"/>
        <v/>
      </c>
      <c r="S33" s="14">
        <f t="shared" ca="1" si="7"/>
        <v>2021</v>
      </c>
      <c r="T33" s="14">
        <f t="shared" ca="1" si="8"/>
        <v>365</v>
      </c>
      <c r="U33" s="14">
        <f t="shared" ca="1" si="9"/>
        <v>12</v>
      </c>
      <c r="V33" s="15">
        <f t="shared" ca="1" si="10"/>
        <v>11</v>
      </c>
      <c r="W33" s="16">
        <f t="shared" ca="1" si="11"/>
        <v>19</v>
      </c>
      <c r="X33" s="14"/>
    </row>
    <row r="34" spans="1:24" x14ac:dyDescent="0.35">
      <c r="A34" s="23">
        <f t="shared" si="12"/>
        <v>6</v>
      </c>
      <c r="B34" s="19">
        <f ca="1">EDATE($B$28,6)</f>
        <v>44573</v>
      </c>
      <c r="C34" s="19">
        <f t="shared" ca="1" si="5"/>
        <v>44573</v>
      </c>
      <c r="D34" s="23">
        <f t="shared" ca="1" si="2"/>
        <v>31</v>
      </c>
      <c r="E34" s="20">
        <f t="shared" si="13"/>
        <v>270000</v>
      </c>
      <c r="F34" s="20">
        <f>IF(AND(A33="",A35=""),"",IF(A34="",ROUND(SUM($F$29:F33),2),IF(A34=$D$8,$E$28-ROUND(SUM($F$29:F33),2),ROUND($E$28/$D$8,2))))</f>
        <v>5000</v>
      </c>
      <c r="G34" s="20">
        <f ca="1">IF(A33=$D$8,ROUND(SUM($G$29:G33),2),IF(A34&gt;$F$8,"",IF(T34&lt;&gt;T33,ROUND(SUM(V34*$F$9*E33/T34,W34*$F$9*E33/T33),2),ROUND(E33*$F$9*D34/T33,2))))</f>
        <v>7004.51</v>
      </c>
      <c r="H34" s="20">
        <f t="shared" ref="H34:H39" ca="1" si="20">IF(A33=$D$8,SUM(H21:H33),IF(A33&gt;$D$8,"",F34+G34))</f>
        <v>12004.51</v>
      </c>
      <c r="I34" s="20" t="str">
        <f t="shared" si="14"/>
        <v/>
      </c>
      <c r="J34" s="20" t="str">
        <f t="shared" si="15"/>
        <v/>
      </c>
      <c r="K34" s="20" t="str">
        <f t="shared" si="16"/>
        <v/>
      </c>
      <c r="L34" s="153" t="str">
        <f t="shared" si="17"/>
        <v/>
      </c>
      <c r="M34" s="20" t="str">
        <f>IF(A33=$D$8,$M$28,"")</f>
        <v/>
      </c>
      <c r="N34" s="20" t="str">
        <f t="shared" si="18"/>
        <v/>
      </c>
      <c r="O34" s="20" t="str">
        <f t="shared" si="19"/>
        <v/>
      </c>
      <c r="P34" s="20"/>
      <c r="Q34" s="66" t="str">
        <f>IF(A33=$D$8,XIRR(H$28:H33,C$28:C33),"")</f>
        <v/>
      </c>
      <c r="R34" s="20" t="str">
        <f t="shared" si="6"/>
        <v/>
      </c>
      <c r="S34" s="14">
        <f t="shared" ca="1" si="7"/>
        <v>2022</v>
      </c>
      <c r="T34" s="14">
        <f t="shared" ca="1" si="8"/>
        <v>365</v>
      </c>
      <c r="U34" s="14">
        <f t="shared" ca="1" si="9"/>
        <v>12</v>
      </c>
      <c r="V34" s="15">
        <f t="shared" ca="1" si="10"/>
        <v>11</v>
      </c>
      <c r="W34" s="16">
        <f t="shared" ca="1" si="11"/>
        <v>20</v>
      </c>
      <c r="X34" s="14"/>
    </row>
    <row r="35" spans="1:24" x14ac:dyDescent="0.35">
      <c r="A35" s="23">
        <f t="shared" si="12"/>
        <v>7</v>
      </c>
      <c r="B35" s="19">
        <f ca="1">EDATE($B$28,7)</f>
        <v>44604</v>
      </c>
      <c r="C35" s="19">
        <f t="shared" ca="1" si="5"/>
        <v>44604</v>
      </c>
      <c r="D35" s="23">
        <f t="shared" ca="1" si="2"/>
        <v>31</v>
      </c>
      <c r="E35" s="20">
        <f t="shared" si="13"/>
        <v>265000</v>
      </c>
      <c r="F35" s="20">
        <f>IF(AND(A34="",A36=""),"",IF(A35="",ROUND(SUM($F$29:F34),2),IF(A35=$D$8,$E$28-ROUND(SUM($F$29:F34),2),ROUND($E$28/$D$8,2))))</f>
        <v>5000</v>
      </c>
      <c r="G35" s="20">
        <f ca="1">IF(A34=$D$8,ROUND(SUM($G$29:G34),2),IF(A35&gt;$F$8,"",IF(T35&lt;&gt;T34,ROUND(SUM(V35*$F$9*E34/T35,W35*$F$9*E34/T34),2),ROUND(E34*$F$9*D35/T34,2))))</f>
        <v>6877.16</v>
      </c>
      <c r="H35" s="20">
        <f t="shared" ca="1" si="20"/>
        <v>11877.16</v>
      </c>
      <c r="I35" s="20" t="str">
        <f t="shared" si="14"/>
        <v/>
      </c>
      <c r="J35" s="20" t="str">
        <f t="shared" si="15"/>
        <v/>
      </c>
      <c r="K35" s="20" t="str">
        <f t="shared" si="16"/>
        <v/>
      </c>
      <c r="L35" s="153" t="str">
        <f t="shared" si="17"/>
        <v/>
      </c>
      <c r="M35" s="20"/>
      <c r="N35" s="20" t="str">
        <f t="shared" si="18"/>
        <v/>
      </c>
      <c r="O35" s="20" t="str">
        <f t="shared" si="19"/>
        <v/>
      </c>
      <c r="P35" s="20"/>
      <c r="Q35" s="66" t="str">
        <f>IF(A34=$D$8,XIRR(H$28:H34,C$28:C34),"")</f>
        <v/>
      </c>
      <c r="R35" s="20" t="str">
        <f t="shared" si="6"/>
        <v/>
      </c>
      <c r="S35" s="14">
        <f t="shared" ca="1" si="7"/>
        <v>2022</v>
      </c>
      <c r="T35" s="14">
        <f t="shared" ca="1" si="8"/>
        <v>365</v>
      </c>
      <c r="U35" s="14">
        <f t="shared" ca="1" si="9"/>
        <v>12</v>
      </c>
      <c r="V35" s="15">
        <f t="shared" ca="1" si="10"/>
        <v>11</v>
      </c>
      <c r="W35" s="16">
        <f t="shared" ca="1" si="11"/>
        <v>20</v>
      </c>
      <c r="X35" s="14"/>
    </row>
    <row r="36" spans="1:24" x14ac:dyDescent="0.35">
      <c r="A36" s="23">
        <f t="shared" si="12"/>
        <v>8</v>
      </c>
      <c r="B36" s="19">
        <f ca="1">EDATE($B$28,8)</f>
        <v>44632</v>
      </c>
      <c r="C36" s="19">
        <f t="shared" ca="1" si="5"/>
        <v>44632</v>
      </c>
      <c r="D36" s="23">
        <f t="shared" ca="1" si="2"/>
        <v>28</v>
      </c>
      <c r="E36" s="20">
        <f t="shared" si="13"/>
        <v>260000</v>
      </c>
      <c r="F36" s="20">
        <f>IF(AND(A35="",A37=""),"",IF(A36="",ROUND(SUM($F$29:F35),2),IF(A36=$D$8,$E$28-ROUND(SUM($F$29:F35),2),ROUND($E$28/$D$8,2))))</f>
        <v>5000</v>
      </c>
      <c r="G36" s="20">
        <f ca="1">IF(A35=$D$8,ROUND(SUM($G$29:G35),2),IF(A36&gt;$F$8,"",IF(T36&lt;&gt;T35,ROUND(SUM(V36*$F$9*E35/T36,W36*$F$9*E35/T35),2),ROUND(E35*$F$9*D36/T35,2))))</f>
        <v>6096.6</v>
      </c>
      <c r="H36" s="20">
        <f t="shared" ca="1" si="20"/>
        <v>11096.6</v>
      </c>
      <c r="I36" s="20" t="str">
        <f t="shared" si="14"/>
        <v/>
      </c>
      <c r="J36" s="20" t="str">
        <f t="shared" si="15"/>
        <v/>
      </c>
      <c r="K36" s="20" t="str">
        <f t="shared" si="16"/>
        <v/>
      </c>
      <c r="L36" s="153" t="str">
        <f t="shared" si="17"/>
        <v/>
      </c>
      <c r="M36" s="20" t="str">
        <f t="shared" ref="M36:M41" si="21">IF(A35=$D$8,$M$28,"")</f>
        <v/>
      </c>
      <c r="N36" s="20" t="str">
        <f t="shared" si="18"/>
        <v/>
      </c>
      <c r="O36" s="20" t="str">
        <f t="shared" si="19"/>
        <v/>
      </c>
      <c r="P36" s="20"/>
      <c r="Q36" s="66" t="str">
        <f>IF(A35=$D$8,XIRR(H$28:H35,C$28:C35),"")</f>
        <v/>
      </c>
      <c r="R36" s="20" t="str">
        <f t="shared" si="6"/>
        <v/>
      </c>
      <c r="S36" s="14">
        <f t="shared" ca="1" si="7"/>
        <v>2022</v>
      </c>
      <c r="T36" s="14">
        <f t="shared" ca="1" si="8"/>
        <v>365</v>
      </c>
      <c r="U36" s="14">
        <f t="shared" ca="1" si="9"/>
        <v>12</v>
      </c>
      <c r="V36" s="15">
        <f t="shared" ca="1" si="10"/>
        <v>11</v>
      </c>
      <c r="W36" s="16">
        <f t="shared" ca="1" si="11"/>
        <v>17</v>
      </c>
      <c r="X36" s="14"/>
    </row>
    <row r="37" spans="1:24" x14ac:dyDescent="0.35">
      <c r="A37" s="23">
        <f t="shared" si="12"/>
        <v>9</v>
      </c>
      <c r="B37" s="19">
        <f ca="1">EDATE($B$28,9)</f>
        <v>44663</v>
      </c>
      <c r="C37" s="19">
        <f t="shared" ca="1" si="5"/>
        <v>44663</v>
      </c>
      <c r="D37" s="23">
        <f t="shared" ca="1" si="2"/>
        <v>31</v>
      </c>
      <c r="E37" s="20">
        <f t="shared" si="13"/>
        <v>255000</v>
      </c>
      <c r="F37" s="20">
        <f>IF(AND(A36="",A38=""),"",IF(A37="",ROUND(SUM($F$29:F36),2),IF(A37=$D$8,$E$28-ROUND(SUM($F$29:F36),2),ROUND($E$28/$D$8,2))))</f>
        <v>5000</v>
      </c>
      <c r="G37" s="20">
        <f ca="1">IF(A36=$D$8,ROUND(SUM($G$29:G36),2),IF(A37&gt;$F$8,"",IF(T37&lt;&gt;T36,ROUND(SUM(V37*$F$9*E36/T37,W37*$F$9*E36/T36),2),ROUND(E36*$F$9*D37/T36,2))))</f>
        <v>6622.45</v>
      </c>
      <c r="H37" s="20">
        <f t="shared" ca="1" si="20"/>
        <v>11622.45</v>
      </c>
      <c r="I37" s="20" t="str">
        <f t="shared" ref="I37:I89" si="22">IF(A36=$D$8,$I$28,"")</f>
        <v/>
      </c>
      <c r="J37" s="20" t="str">
        <f t="shared" ref="J37:J89" si="23">IF(A36=$D$8,$J$28,"")</f>
        <v/>
      </c>
      <c r="K37" s="20" t="str">
        <f t="shared" ref="K37:K89" si="24">IF(A36=$D$8,$K$28,"")</f>
        <v/>
      </c>
      <c r="L37" s="153" t="str">
        <f t="shared" ref="L37:L89" si="25">IF(A36=$D$8,$L$28,"")</f>
        <v/>
      </c>
      <c r="M37" s="20" t="str">
        <f t="shared" si="21"/>
        <v/>
      </c>
      <c r="N37" s="20" t="str">
        <f t="shared" si="18"/>
        <v/>
      </c>
      <c r="O37" s="20" t="str">
        <f t="shared" si="19"/>
        <v/>
      </c>
      <c r="P37" s="20"/>
      <c r="Q37" s="66" t="str">
        <f>IF(A36=$D$8,XIRR(H$28:H36,C$28:C36),"")</f>
        <v/>
      </c>
      <c r="R37" s="20" t="str">
        <f t="shared" si="6"/>
        <v/>
      </c>
      <c r="S37" s="14">
        <f t="shared" ca="1" si="7"/>
        <v>2022</v>
      </c>
      <c r="T37" s="14">
        <f t="shared" ca="1" si="8"/>
        <v>365</v>
      </c>
      <c r="U37" s="14">
        <f t="shared" ca="1" si="9"/>
        <v>12</v>
      </c>
      <c r="V37" s="15">
        <f t="shared" ca="1" si="10"/>
        <v>11</v>
      </c>
      <c r="W37" s="16">
        <f t="shared" ca="1" si="11"/>
        <v>20</v>
      </c>
      <c r="X37" s="14"/>
    </row>
    <row r="38" spans="1:24" x14ac:dyDescent="0.35">
      <c r="A38" s="23">
        <f t="shared" si="12"/>
        <v>10</v>
      </c>
      <c r="B38" s="19">
        <f ca="1">EDATE($B$28,10)</f>
        <v>44693</v>
      </c>
      <c r="C38" s="19">
        <f t="shared" ca="1" si="5"/>
        <v>44693</v>
      </c>
      <c r="D38" s="23">
        <f t="shared" ca="1" si="2"/>
        <v>30</v>
      </c>
      <c r="E38" s="20">
        <f t="shared" si="13"/>
        <v>250000</v>
      </c>
      <c r="F38" s="20">
        <f>IF(AND(A37="",A39=""),"",IF(A38="",ROUND(SUM($F$29:F37),2),IF(A38=$D$8,$E$28-ROUND(SUM($F$29:F37),2),ROUND($E$28/$D$8,2))))</f>
        <v>5000</v>
      </c>
      <c r="G38" s="20">
        <f ca="1">IF(A37=$D$8,ROUND(SUM($G$29:G37),2),IF(A38&gt;$F$8,"",IF(T38&lt;&gt;T37,ROUND(SUM(V38*$F$9*E37/T38,W38*$F$9*E37/T37),2),ROUND(E37*$F$9*D38/T37,2))))</f>
        <v>6285.58</v>
      </c>
      <c r="H38" s="20">
        <f t="shared" ca="1" si="20"/>
        <v>11285.58</v>
      </c>
      <c r="I38" s="20" t="str">
        <f t="shared" si="22"/>
        <v/>
      </c>
      <c r="J38" s="20" t="str">
        <f t="shared" si="23"/>
        <v/>
      </c>
      <c r="K38" s="20" t="str">
        <f t="shared" si="24"/>
        <v/>
      </c>
      <c r="L38" s="153" t="str">
        <f t="shared" si="25"/>
        <v/>
      </c>
      <c r="M38" s="20" t="str">
        <f t="shared" si="21"/>
        <v/>
      </c>
      <c r="N38" s="20" t="str">
        <f t="shared" si="18"/>
        <v/>
      </c>
      <c r="O38" s="20" t="str">
        <f t="shared" si="19"/>
        <v/>
      </c>
      <c r="P38" s="20"/>
      <c r="Q38" s="66" t="str">
        <f>IF(A37=$D$8,XIRR(H$28:H37,C$28:C37),"")</f>
        <v/>
      </c>
      <c r="R38" s="20" t="str">
        <f t="shared" si="6"/>
        <v/>
      </c>
      <c r="S38" s="14">
        <f t="shared" ca="1" si="7"/>
        <v>2022</v>
      </c>
      <c r="T38" s="14">
        <f t="shared" ca="1" si="8"/>
        <v>365</v>
      </c>
      <c r="U38" s="14">
        <f t="shared" ca="1" si="9"/>
        <v>12</v>
      </c>
      <c r="V38" s="15">
        <f t="shared" ca="1" si="10"/>
        <v>11</v>
      </c>
      <c r="W38" s="16">
        <f t="shared" ca="1" si="11"/>
        <v>19</v>
      </c>
      <c r="X38" s="14"/>
    </row>
    <row r="39" spans="1:24" x14ac:dyDescent="0.35">
      <c r="A39" s="23">
        <f t="shared" si="12"/>
        <v>11</v>
      </c>
      <c r="B39" s="19">
        <f ca="1">EDATE($B$28,11)</f>
        <v>44724</v>
      </c>
      <c r="C39" s="19">
        <f t="shared" ca="1" si="5"/>
        <v>44724</v>
      </c>
      <c r="D39" s="23">
        <f t="shared" ca="1" si="2"/>
        <v>31</v>
      </c>
      <c r="E39" s="20">
        <f t="shared" si="13"/>
        <v>245000</v>
      </c>
      <c r="F39" s="20">
        <f>IF(AND(A38="",A40=""),"",IF(A39="",ROUND(SUM($F$29:F38),2),IF(A39=$D$8,$E$28-ROUND(SUM($F$29:F38),2),ROUND($E$28/$D$8,2))))</f>
        <v>5000</v>
      </c>
      <c r="G39" s="20">
        <f ca="1">IF(A38=$D$8,ROUND(SUM($G$29:G38),2),IF(A39&gt;$F$8,"",IF(T39&lt;&gt;T38,ROUND(SUM(V39*$F$9*E38/T39,W39*$F$9*E38/T38),2),ROUND(E38*$F$9*D39/T38,2))))</f>
        <v>6367.74</v>
      </c>
      <c r="H39" s="20">
        <f t="shared" ca="1" si="20"/>
        <v>11367.74</v>
      </c>
      <c r="I39" s="20" t="str">
        <f t="shared" si="22"/>
        <v/>
      </c>
      <c r="J39" s="20" t="str">
        <f t="shared" si="23"/>
        <v/>
      </c>
      <c r="K39" s="20" t="str">
        <f t="shared" si="24"/>
        <v/>
      </c>
      <c r="L39" s="153" t="str">
        <f t="shared" si="25"/>
        <v/>
      </c>
      <c r="M39" s="20" t="str">
        <f t="shared" si="21"/>
        <v/>
      </c>
      <c r="N39" s="20" t="str">
        <f t="shared" si="18"/>
        <v/>
      </c>
      <c r="O39" s="20" t="str">
        <f t="shared" si="19"/>
        <v/>
      </c>
      <c r="P39" s="20"/>
      <c r="Q39" s="66" t="str">
        <f>IF(A38=$D$8,XIRR(H$28:H38,C$28:C38),"")</f>
        <v/>
      </c>
      <c r="R39" s="20" t="str">
        <f t="shared" si="6"/>
        <v/>
      </c>
      <c r="S39" s="14">
        <f t="shared" ca="1" si="7"/>
        <v>2022</v>
      </c>
      <c r="T39" s="14">
        <f t="shared" ca="1" si="8"/>
        <v>365</v>
      </c>
      <c r="U39" s="14">
        <f t="shared" ca="1" si="9"/>
        <v>12</v>
      </c>
      <c r="V39" s="15">
        <f t="shared" ca="1" si="10"/>
        <v>11</v>
      </c>
      <c r="W39" s="16">
        <f t="shared" ca="1" si="11"/>
        <v>20</v>
      </c>
      <c r="X39" s="14"/>
    </row>
    <row r="40" spans="1:24" x14ac:dyDescent="0.35">
      <c r="A40" s="23">
        <f t="shared" si="12"/>
        <v>12</v>
      </c>
      <c r="B40" s="19">
        <f ca="1">EDATE($B$28,12)</f>
        <v>44754</v>
      </c>
      <c r="C40" s="19">
        <f t="shared" ca="1" si="5"/>
        <v>44754</v>
      </c>
      <c r="D40" s="23">
        <f t="shared" ca="1" si="2"/>
        <v>30</v>
      </c>
      <c r="E40" s="20">
        <f t="shared" si="13"/>
        <v>240000</v>
      </c>
      <c r="F40" s="20">
        <f>IF(AND(A39="",A41=""),"",IF(A40="",ROUND(SUM($F$29:F39),2),IF(A40=$D$8,$E$28-ROUND(SUM($F$29:F39),2),ROUND($E$28/$D$8,2))))</f>
        <v>5000</v>
      </c>
      <c r="G40" s="20">
        <f ca="1">IF(A39=$D$8,ROUND(SUM($G$29:G39),2),IF(A40&gt;$F$8,"",IF(T40&lt;&gt;T39,ROUND(SUM(V40*$F$9*E39/T40,W40*$F$9*E39/T39),2),ROUND(E39*$F$9*D40/T39,2))))</f>
        <v>6039.08</v>
      </c>
      <c r="H40" s="20">
        <f t="shared" ref="H40" ca="1" si="26">IF(A39=$D$8,SUM(H28:H39),IF(A39&gt;$D$8,"",F40+G40))</f>
        <v>11039.08</v>
      </c>
      <c r="I40" s="20" t="str">
        <f t="shared" si="22"/>
        <v/>
      </c>
      <c r="J40" s="20" t="str">
        <f t="shared" si="23"/>
        <v/>
      </c>
      <c r="K40" s="20" t="str">
        <f t="shared" si="24"/>
        <v/>
      </c>
      <c r="L40" s="153" t="str">
        <f t="shared" si="25"/>
        <v/>
      </c>
      <c r="M40" s="20" t="str">
        <f t="shared" si="21"/>
        <v/>
      </c>
      <c r="N40" s="20" t="str">
        <f t="shared" si="18"/>
        <v/>
      </c>
      <c r="O40" s="20" t="str">
        <f t="shared" si="19"/>
        <v/>
      </c>
      <c r="P40" s="20"/>
      <c r="Q40" s="66" t="str">
        <f>IF(A39=$D$8,XIRR(H$28:H39,C$28:C39),"")</f>
        <v/>
      </c>
      <c r="R40" s="20" t="str">
        <f t="shared" si="6"/>
        <v/>
      </c>
      <c r="S40" s="14">
        <f t="shared" ca="1" si="7"/>
        <v>2022</v>
      </c>
      <c r="T40" s="14">
        <f t="shared" ca="1" si="8"/>
        <v>365</v>
      </c>
      <c r="U40" s="14">
        <f t="shared" ca="1" si="9"/>
        <v>12</v>
      </c>
      <c r="V40" s="15">
        <f t="shared" ca="1" si="10"/>
        <v>11</v>
      </c>
      <c r="W40" s="16">
        <f t="shared" ca="1" si="11"/>
        <v>19</v>
      </c>
      <c r="X40" s="14"/>
    </row>
    <row r="41" spans="1:24" x14ac:dyDescent="0.35">
      <c r="A41" s="23">
        <f t="shared" si="12"/>
        <v>13</v>
      </c>
      <c r="B41" s="19">
        <f ca="1">EDATE($B$28,13)</f>
        <v>44785</v>
      </c>
      <c r="C41" s="19">
        <f t="shared" ca="1" si="5"/>
        <v>44785</v>
      </c>
      <c r="D41" s="23">
        <f ca="1">IF(A41&gt;$D$8,"",C41-C40)</f>
        <v>31</v>
      </c>
      <c r="E41" s="20">
        <f>IF(A41&gt;$D$8,"",E40-F41)</f>
        <v>235000</v>
      </c>
      <c r="F41" s="20">
        <f>IF(AND(A40="",A42=""),"",IF(A41="",ROUND(SUM($F$29:F40),2),IF(A41=$D$8,$E$28-ROUND(SUM($F$29:F40),2),ROUND($E$28/$D$8,2))))</f>
        <v>5000</v>
      </c>
      <c r="G41" s="20">
        <f ca="1">IF(A40=$D$8,ROUND(SUM($G$29:G40),2),IF(A41&gt;$F$8,"",IF(T41&lt;&gt;T40,ROUND(SUM(V41*$F$9*E40/T41,W41*$F$9*E40/T40),2),ROUND(E40*$F$9*D41/T40,2))))</f>
        <v>6113.03</v>
      </c>
      <c r="H41" s="20">
        <f ca="1">IF(A40=$D$8,SUM(H29:H40),IF(A40&gt;$D$8,"",F41+G41))</f>
        <v>11113.029999999999</v>
      </c>
      <c r="I41" s="20" t="str">
        <f t="shared" si="22"/>
        <v/>
      </c>
      <c r="J41" s="20" t="str">
        <f t="shared" si="23"/>
        <v/>
      </c>
      <c r="K41" s="20" t="str">
        <f t="shared" si="24"/>
        <v/>
      </c>
      <c r="L41" s="153" t="str">
        <f t="shared" si="25"/>
        <v/>
      </c>
      <c r="M41" s="20" t="str">
        <f t="shared" si="21"/>
        <v/>
      </c>
      <c r="N41" s="20" t="str">
        <f t="shared" si="18"/>
        <v/>
      </c>
      <c r="O41" s="20" t="str">
        <f t="shared" si="19"/>
        <v/>
      </c>
      <c r="P41" s="20"/>
      <c r="Q41" s="66" t="str">
        <f>IF(A40=$D$8,XIRR(H$28:H40,C$28:C40),"")</f>
        <v/>
      </c>
      <c r="R41" s="20" t="str">
        <f t="shared" si="6"/>
        <v/>
      </c>
      <c r="S41" s="14">
        <f t="shared" ca="1" si="7"/>
        <v>2022</v>
      </c>
      <c r="T41" s="14">
        <f t="shared" ca="1" si="8"/>
        <v>365</v>
      </c>
      <c r="U41" s="14">
        <f t="shared" ca="1" si="9"/>
        <v>12</v>
      </c>
      <c r="V41" s="15">
        <f t="shared" ca="1" si="10"/>
        <v>11</v>
      </c>
      <c r="W41" s="16">
        <f t="shared" ca="1" si="11"/>
        <v>20</v>
      </c>
      <c r="X41" s="14"/>
    </row>
    <row r="42" spans="1:24" x14ac:dyDescent="0.35">
      <c r="A42" s="23">
        <f t="shared" si="12"/>
        <v>14</v>
      </c>
      <c r="B42" s="19">
        <f ca="1">EDATE($B$28,14)</f>
        <v>44816</v>
      </c>
      <c r="C42" s="19">
        <f t="shared" ca="1" si="5"/>
        <v>44816</v>
      </c>
      <c r="D42" s="23">
        <f t="shared" ref="D42:D105" ca="1" si="27">IF(A42&gt;$D$8,"",C42-C41)</f>
        <v>31</v>
      </c>
      <c r="E42" s="20">
        <f t="shared" ref="E42:E105" si="28">IF(A42&gt;$D$8,"",E41-F42)</f>
        <v>230000</v>
      </c>
      <c r="F42" s="20">
        <f>IF(AND(A41="",A43=""),"",IF(A42="",ROUND(SUM($F$29:F41),2),IF(A42=$D$8,$E$28-ROUND(SUM($F$29:F41),2),ROUND($E$28/$D$8,2))))</f>
        <v>5000</v>
      </c>
      <c r="G42" s="20">
        <f ca="1">IF(A41=$D$8,ROUND(SUM($G$29:G41),2),IF(A42&gt;$F$8,"",IF(T42&lt;&gt;T41,ROUND(SUM(V42*$F$9*E41/T42,W42*$F$9*E41/T41),2),ROUND(E41*$F$9*D42/T41,2))))</f>
        <v>5985.68</v>
      </c>
      <c r="H42" s="20">
        <f ca="1">IF(A41=$D$8,SUM($H$29:H41),IF(A41&gt;$D$8,"",F42+G42))</f>
        <v>10985.68</v>
      </c>
      <c r="I42" s="20" t="str">
        <f t="shared" si="22"/>
        <v/>
      </c>
      <c r="J42" s="20" t="str">
        <f t="shared" si="23"/>
        <v/>
      </c>
      <c r="K42" s="20" t="str">
        <f t="shared" si="24"/>
        <v/>
      </c>
      <c r="L42" s="153" t="str">
        <f t="shared" si="25"/>
        <v/>
      </c>
      <c r="M42" s="20" t="str">
        <f t="shared" ref="M42" si="29">IF(A41=$D$8,$M$28,"")</f>
        <v/>
      </c>
      <c r="N42" s="20" t="str">
        <f t="shared" si="18"/>
        <v/>
      </c>
      <c r="O42" s="20" t="str">
        <f t="shared" si="19"/>
        <v/>
      </c>
      <c r="P42" s="20"/>
      <c r="Q42" s="66" t="str">
        <f>IF(A41=$D$8,XIRR(H$28:H41,C$28:C41),"")</f>
        <v/>
      </c>
      <c r="R42" s="20" t="str">
        <f t="shared" si="6"/>
        <v/>
      </c>
      <c r="S42" s="14">
        <f t="shared" ca="1" si="7"/>
        <v>2022</v>
      </c>
      <c r="T42" s="14">
        <f t="shared" ca="1" si="8"/>
        <v>365</v>
      </c>
      <c r="U42" s="14">
        <f t="shared" ca="1" si="9"/>
        <v>12</v>
      </c>
      <c r="V42" s="15">
        <f t="shared" ca="1" si="10"/>
        <v>11</v>
      </c>
      <c r="W42" s="16">
        <f t="shared" ca="1" si="11"/>
        <v>20</v>
      </c>
      <c r="X42" s="14"/>
    </row>
    <row r="43" spans="1:24" x14ac:dyDescent="0.35">
      <c r="A43" s="23">
        <f t="shared" si="12"/>
        <v>15</v>
      </c>
      <c r="B43" s="19">
        <f ca="1">EDATE($B$28,15)</f>
        <v>44846</v>
      </c>
      <c r="C43" s="19">
        <f t="shared" ca="1" si="5"/>
        <v>44846</v>
      </c>
      <c r="D43" s="23">
        <f t="shared" ca="1" si="27"/>
        <v>30</v>
      </c>
      <c r="E43" s="20">
        <f t="shared" si="28"/>
        <v>225000</v>
      </c>
      <c r="F43" s="20">
        <f>IF(AND(A42="",A44=""),"",IF(A43="",ROUND(SUM($F$29:F42),2),IF(A43=$D$8,$E$28-ROUND(SUM($F$29:F42),2),ROUND($E$28/$D$8,2))))</f>
        <v>5000</v>
      </c>
      <c r="G43" s="20">
        <f ca="1">IF(A42=$D$8,ROUND(SUM($G$29:G42),2),IF(A43&gt;$F$8,"",IF(T43&lt;&gt;T42,ROUND(SUM(V43*$F$9*E42/T43,W43*$F$9*E42/T42),2),ROUND(E42*$F$9*D43/T42,2))))</f>
        <v>5669.34</v>
      </c>
      <c r="H43" s="20">
        <f ca="1">IF(A42=$D$8,SUM($H$29:H42),IF(A42&gt;$D$8,"",F43+G43))</f>
        <v>10669.34</v>
      </c>
      <c r="I43" s="20" t="str">
        <f t="shared" si="22"/>
        <v/>
      </c>
      <c r="J43" s="20" t="str">
        <f t="shared" si="23"/>
        <v/>
      </c>
      <c r="K43" s="20" t="str">
        <f t="shared" si="24"/>
        <v/>
      </c>
      <c r="L43" s="153" t="str">
        <f t="shared" si="25"/>
        <v/>
      </c>
      <c r="M43" s="20" t="str">
        <f t="shared" ref="M43:M74" si="30">IF(A42=$D$8,$M$28,"")</f>
        <v/>
      </c>
      <c r="N43" s="20" t="str">
        <f t="shared" si="18"/>
        <v/>
      </c>
      <c r="O43" s="20" t="str">
        <f t="shared" si="19"/>
        <v/>
      </c>
      <c r="P43" s="20"/>
      <c r="Q43" s="66" t="str">
        <f>IF(A42=$D$8,XIRR(H$28:H42,C$28:C42),"")</f>
        <v/>
      </c>
      <c r="R43" s="20" t="str">
        <f t="shared" si="6"/>
        <v/>
      </c>
      <c r="S43" s="14">
        <f t="shared" ca="1" si="7"/>
        <v>2022</v>
      </c>
      <c r="T43" s="14">
        <f t="shared" ca="1" si="8"/>
        <v>365</v>
      </c>
      <c r="U43" s="14">
        <f t="shared" ca="1" si="9"/>
        <v>12</v>
      </c>
      <c r="V43" s="15">
        <f t="shared" ca="1" si="10"/>
        <v>11</v>
      </c>
      <c r="W43" s="16">
        <f t="shared" ca="1" si="11"/>
        <v>19</v>
      </c>
      <c r="X43" s="14"/>
    </row>
    <row r="44" spans="1:24" x14ac:dyDescent="0.35">
      <c r="A44" s="23">
        <f t="shared" si="12"/>
        <v>16</v>
      </c>
      <c r="B44" s="19">
        <f ca="1">EDATE($B$28,16)</f>
        <v>44877</v>
      </c>
      <c r="C44" s="19">
        <f t="shared" ca="1" si="5"/>
        <v>44877</v>
      </c>
      <c r="D44" s="23">
        <f t="shared" ca="1" si="27"/>
        <v>31</v>
      </c>
      <c r="E44" s="20">
        <f t="shared" si="28"/>
        <v>220000</v>
      </c>
      <c r="F44" s="20">
        <f>IF(AND(A43="",A45=""),"",IF(A44="",ROUND(SUM($F$29:F43),2),IF(A44=$D$8,$E$28-ROUND(SUM($F$29:F43),2),ROUND($E$28/$D$8,2))))</f>
        <v>5000</v>
      </c>
      <c r="G44" s="20">
        <f ca="1">IF(A43=$D$8,ROUND(SUM($G$29:G43),2),IF(A44&gt;$F$8,"",IF(T44&lt;&gt;T43,ROUND(SUM(V44*$F$9*E43/T44,W44*$F$9*E43/T43),2),ROUND(E43*$F$9*D44/T43,2))))</f>
        <v>5730.97</v>
      </c>
      <c r="H44" s="20">
        <f ca="1">IF(A43=$D$8,SUM($H$29:H43),IF(A43&gt;$D$8,"",F44+G44))</f>
        <v>10730.970000000001</v>
      </c>
      <c r="I44" s="20" t="str">
        <f t="shared" si="22"/>
        <v/>
      </c>
      <c r="J44" s="20" t="str">
        <f t="shared" si="23"/>
        <v/>
      </c>
      <c r="K44" s="20" t="str">
        <f t="shared" si="24"/>
        <v/>
      </c>
      <c r="L44" s="153" t="str">
        <f t="shared" si="25"/>
        <v/>
      </c>
      <c r="M44" s="20" t="str">
        <f t="shared" si="30"/>
        <v/>
      </c>
      <c r="N44" s="20" t="str">
        <f t="shared" si="18"/>
        <v/>
      </c>
      <c r="O44" s="20" t="str">
        <f t="shared" si="19"/>
        <v/>
      </c>
      <c r="P44" s="20"/>
      <c r="Q44" s="66" t="str">
        <f>IF(A43=$D$8,XIRR(H$28:H43,C$28:C43),"")</f>
        <v/>
      </c>
      <c r="R44" s="20" t="str">
        <f t="shared" si="6"/>
        <v/>
      </c>
      <c r="S44" s="14">
        <f t="shared" ca="1" si="7"/>
        <v>2022</v>
      </c>
      <c r="T44" s="14">
        <f t="shared" ca="1" si="8"/>
        <v>365</v>
      </c>
      <c r="U44" s="14">
        <f t="shared" ca="1" si="9"/>
        <v>12</v>
      </c>
      <c r="V44" s="15">
        <f t="shared" ca="1" si="10"/>
        <v>11</v>
      </c>
      <c r="W44" s="16">
        <f t="shared" ca="1" si="11"/>
        <v>20</v>
      </c>
      <c r="X44" s="14"/>
    </row>
    <row r="45" spans="1:24" x14ac:dyDescent="0.35">
      <c r="A45" s="23">
        <f t="shared" si="12"/>
        <v>17</v>
      </c>
      <c r="B45" s="19">
        <f ca="1">EDATE($B$28,17)</f>
        <v>44907</v>
      </c>
      <c r="C45" s="19">
        <f t="shared" ca="1" si="5"/>
        <v>44907</v>
      </c>
      <c r="D45" s="23">
        <f t="shared" ca="1" si="27"/>
        <v>30</v>
      </c>
      <c r="E45" s="20">
        <f t="shared" si="28"/>
        <v>215000</v>
      </c>
      <c r="F45" s="20">
        <f>IF(AND(A44="",A46=""),"",IF(A45="",ROUND(SUM($F$29:F44),2),IF(A45=$D$8,$E$28-ROUND(SUM($F$29:F44),2),ROUND($E$28/$D$8,2))))</f>
        <v>5000</v>
      </c>
      <c r="G45" s="20">
        <f ca="1">IF(A44=$D$8,ROUND(SUM($G$29:G44),2),IF(A45&gt;$F$8,"",IF(T45&lt;&gt;T44,ROUND(SUM(V45*$F$9*E44/T45,W45*$F$9*E44/T44),2),ROUND(E44*$F$9*D45/T44,2))))</f>
        <v>5422.85</v>
      </c>
      <c r="H45" s="20">
        <f ca="1">IF(A44=$D$8,SUM($H$29:H44),IF(A44&gt;$D$8,"",F45+G45))</f>
        <v>10422.85</v>
      </c>
      <c r="I45" s="20" t="str">
        <f t="shared" si="22"/>
        <v/>
      </c>
      <c r="J45" s="20" t="str">
        <f t="shared" si="23"/>
        <v/>
      </c>
      <c r="K45" s="20" t="str">
        <f t="shared" si="24"/>
        <v/>
      </c>
      <c r="L45" s="153" t="str">
        <f t="shared" si="25"/>
        <v/>
      </c>
      <c r="M45" s="20" t="str">
        <f t="shared" si="30"/>
        <v/>
      </c>
      <c r="N45" s="20" t="str">
        <f t="shared" si="18"/>
        <v/>
      </c>
      <c r="O45" s="20" t="str">
        <f t="shared" si="19"/>
        <v/>
      </c>
      <c r="P45" s="20"/>
      <c r="Q45" s="66" t="str">
        <f>IF(A44=$D$8,XIRR(H$28:H44,C$28:C44),"")</f>
        <v/>
      </c>
      <c r="R45" s="20" t="str">
        <f t="shared" si="6"/>
        <v/>
      </c>
      <c r="S45" s="14">
        <f t="shared" ca="1" si="7"/>
        <v>2022</v>
      </c>
      <c r="T45" s="14">
        <f t="shared" ca="1" si="8"/>
        <v>365</v>
      </c>
      <c r="U45" s="14">
        <f t="shared" ca="1" si="9"/>
        <v>12</v>
      </c>
      <c r="V45" s="15">
        <f t="shared" ca="1" si="10"/>
        <v>11</v>
      </c>
      <c r="W45" s="16">
        <f t="shared" ca="1" si="11"/>
        <v>19</v>
      </c>
      <c r="X45" s="14"/>
    </row>
    <row r="46" spans="1:24" x14ac:dyDescent="0.35">
      <c r="A46" s="23">
        <f t="shared" si="12"/>
        <v>18</v>
      </c>
      <c r="B46" s="19">
        <f ca="1">EDATE($B$28,18)</f>
        <v>44938</v>
      </c>
      <c r="C46" s="19">
        <f t="shared" ca="1" si="5"/>
        <v>44938</v>
      </c>
      <c r="D46" s="23">
        <f t="shared" ca="1" si="27"/>
        <v>31</v>
      </c>
      <c r="E46" s="20">
        <f t="shared" si="28"/>
        <v>210000</v>
      </c>
      <c r="F46" s="20">
        <f>IF(AND(A45="",A47=""),"",IF(A46="",ROUND(SUM($F$29:F45),2),IF(A46=$D$8,$E$28-ROUND(SUM($F$29:F45),2),ROUND($E$28/$D$8,2))))</f>
        <v>5000</v>
      </c>
      <c r="G46" s="20">
        <f ca="1">IF(A45=$D$8,ROUND(SUM($G$29:G45),2),IF(A46&gt;$F$8,"",IF(T46&lt;&gt;T45,ROUND(SUM(V46*$F$9*E45/T46,W46*$F$9*E45/T45),2),ROUND(E45*$F$9*D46/T45,2))))</f>
        <v>5476.26</v>
      </c>
      <c r="H46" s="20">
        <f ca="1">IF(A45=$D$8,SUM($H$29:H45),IF(A45&gt;$D$8,"",F46+G46))</f>
        <v>10476.26</v>
      </c>
      <c r="I46" s="20" t="str">
        <f t="shared" si="22"/>
        <v/>
      </c>
      <c r="J46" s="20" t="str">
        <f t="shared" si="23"/>
        <v/>
      </c>
      <c r="K46" s="20" t="str">
        <f t="shared" si="24"/>
        <v/>
      </c>
      <c r="L46" s="153" t="str">
        <f t="shared" si="25"/>
        <v/>
      </c>
      <c r="M46" s="20" t="str">
        <f t="shared" si="30"/>
        <v/>
      </c>
      <c r="N46" s="20" t="str">
        <f t="shared" si="18"/>
        <v/>
      </c>
      <c r="O46" s="20" t="str">
        <f t="shared" si="19"/>
        <v/>
      </c>
      <c r="P46" s="20"/>
      <c r="Q46" s="66" t="str">
        <f>IF(A45=$D$8,XIRR(H$28:H45,C$28:C45),"")</f>
        <v/>
      </c>
      <c r="R46" s="20" t="str">
        <f t="shared" si="6"/>
        <v/>
      </c>
      <c r="S46" s="14">
        <f t="shared" ca="1" si="7"/>
        <v>2023</v>
      </c>
      <c r="T46" s="14">
        <f t="shared" ca="1" si="8"/>
        <v>365</v>
      </c>
      <c r="U46" s="14">
        <f t="shared" ca="1" si="9"/>
        <v>12</v>
      </c>
      <c r="V46" s="15">
        <f t="shared" ca="1" si="10"/>
        <v>11</v>
      </c>
      <c r="W46" s="16">
        <f t="shared" ca="1" si="11"/>
        <v>20</v>
      </c>
      <c r="X46" s="14"/>
    </row>
    <row r="47" spans="1:24" x14ac:dyDescent="0.35">
      <c r="A47" s="23">
        <f t="shared" si="12"/>
        <v>19</v>
      </c>
      <c r="B47" s="19">
        <f ca="1">EDATE($B$28,19)</f>
        <v>44969</v>
      </c>
      <c r="C47" s="19">
        <f t="shared" ca="1" si="5"/>
        <v>44969</v>
      </c>
      <c r="D47" s="23">
        <f t="shared" ca="1" si="27"/>
        <v>31</v>
      </c>
      <c r="E47" s="20">
        <f t="shared" si="28"/>
        <v>205000</v>
      </c>
      <c r="F47" s="20">
        <f>IF(AND(A46="",A48=""),"",IF(A47="",ROUND(SUM($F$29:F46),2),IF(A47=$D$8,$E$28-ROUND(SUM($F$29:F46),2),ROUND($E$28/$D$8,2))))</f>
        <v>5000</v>
      </c>
      <c r="G47" s="20">
        <f ca="1">IF(A46=$D$8,ROUND(SUM($G$29:G46),2),IF(A47&gt;$F$8,"",IF(T47&lt;&gt;T46,ROUND(SUM(V47*$F$9*E46/T47,W47*$F$9*E46/T46),2),ROUND(E46*$F$9*D47/T46,2))))</f>
        <v>5348.9</v>
      </c>
      <c r="H47" s="20">
        <f ca="1">IF(A46=$D$8,SUM($H$29:H46),IF(A46&gt;$D$8,"",F47+G47))</f>
        <v>10348.9</v>
      </c>
      <c r="I47" s="20" t="str">
        <f t="shared" si="22"/>
        <v/>
      </c>
      <c r="J47" s="20" t="str">
        <f t="shared" si="23"/>
        <v/>
      </c>
      <c r="K47" s="20" t="str">
        <f t="shared" si="24"/>
        <v/>
      </c>
      <c r="L47" s="153" t="str">
        <f t="shared" si="25"/>
        <v/>
      </c>
      <c r="M47" s="20" t="str">
        <f t="shared" si="30"/>
        <v/>
      </c>
      <c r="N47" s="20" t="str">
        <f t="shared" si="18"/>
        <v/>
      </c>
      <c r="O47" s="20" t="str">
        <f t="shared" si="19"/>
        <v/>
      </c>
      <c r="P47" s="20"/>
      <c r="Q47" s="66" t="str">
        <f>IF(A46=$D$8,XIRR(H$28:H46,C$28:C46),"")</f>
        <v/>
      </c>
      <c r="R47" s="20" t="str">
        <f t="shared" si="6"/>
        <v/>
      </c>
      <c r="S47" s="14">
        <f t="shared" ca="1" si="7"/>
        <v>2023</v>
      </c>
      <c r="T47" s="14">
        <f t="shared" ca="1" si="8"/>
        <v>365</v>
      </c>
      <c r="U47" s="14">
        <f t="shared" ca="1" si="9"/>
        <v>12</v>
      </c>
      <c r="V47" s="15">
        <f t="shared" ca="1" si="10"/>
        <v>11</v>
      </c>
      <c r="W47" s="16">
        <f t="shared" ca="1" si="11"/>
        <v>20</v>
      </c>
      <c r="X47" s="14"/>
    </row>
    <row r="48" spans="1:24" x14ac:dyDescent="0.35">
      <c r="A48" s="23">
        <f t="shared" si="12"/>
        <v>20</v>
      </c>
      <c r="B48" s="19">
        <f ca="1">EDATE($B$28,20)</f>
        <v>44997</v>
      </c>
      <c r="C48" s="19">
        <f t="shared" ca="1" si="5"/>
        <v>44997</v>
      </c>
      <c r="D48" s="23">
        <f t="shared" ca="1" si="27"/>
        <v>28</v>
      </c>
      <c r="E48" s="20">
        <f t="shared" si="28"/>
        <v>200000</v>
      </c>
      <c r="F48" s="20">
        <f>IF(AND(A47="",A49=""),"",IF(A48="",ROUND(SUM($F$29:F47),2),IF(A48=$D$8,$E$28-ROUND(SUM($F$29:F47),2),ROUND($E$28/$D$8,2))))</f>
        <v>5000</v>
      </c>
      <c r="G48" s="20">
        <f ca="1">IF(A47=$D$8,ROUND(SUM($G$29:G47),2),IF(A48&gt;$F$8,"",IF(T48&lt;&gt;T47,ROUND(SUM(V48*$F$9*E47/T48,W48*$F$9*E47/T47),2),ROUND(E47*$F$9*D48/T47,2))))</f>
        <v>4716.24</v>
      </c>
      <c r="H48" s="20">
        <f ca="1">IF(A47=$D$8,SUM($H$29:H47),IF(A47&gt;$D$8,"",F48+G48))</f>
        <v>9716.24</v>
      </c>
      <c r="I48" s="20" t="str">
        <f t="shared" si="22"/>
        <v/>
      </c>
      <c r="J48" s="20" t="str">
        <f t="shared" si="23"/>
        <v/>
      </c>
      <c r="K48" s="20" t="str">
        <f t="shared" si="24"/>
        <v/>
      </c>
      <c r="L48" s="153" t="str">
        <f t="shared" si="25"/>
        <v/>
      </c>
      <c r="M48" s="20" t="str">
        <f t="shared" si="30"/>
        <v/>
      </c>
      <c r="N48" s="20" t="str">
        <f t="shared" si="18"/>
        <v/>
      </c>
      <c r="O48" s="20" t="str">
        <f t="shared" si="19"/>
        <v/>
      </c>
      <c r="P48" s="20"/>
      <c r="Q48" s="66" t="str">
        <f>IF(A47=$D$8,XIRR(H$28:H47,C$28:C47),"")</f>
        <v/>
      </c>
      <c r="R48" s="20" t="str">
        <f t="shared" si="6"/>
        <v/>
      </c>
      <c r="S48" s="14">
        <f t="shared" ca="1" si="7"/>
        <v>2023</v>
      </c>
      <c r="T48" s="14">
        <f t="shared" ca="1" si="8"/>
        <v>365</v>
      </c>
      <c r="U48" s="14">
        <f t="shared" ca="1" si="9"/>
        <v>12</v>
      </c>
      <c r="V48" s="15">
        <f t="shared" ca="1" si="10"/>
        <v>11</v>
      </c>
      <c r="W48" s="16">
        <f t="shared" ca="1" si="11"/>
        <v>17</v>
      </c>
      <c r="X48" s="14"/>
    </row>
    <row r="49" spans="1:24" x14ac:dyDescent="0.35">
      <c r="A49" s="23">
        <f t="shared" si="12"/>
        <v>21</v>
      </c>
      <c r="B49" s="19">
        <f ca="1">EDATE($B$28,21)</f>
        <v>45028</v>
      </c>
      <c r="C49" s="19">
        <f t="shared" ca="1" si="5"/>
        <v>45028</v>
      </c>
      <c r="D49" s="23">
        <f t="shared" ca="1" si="27"/>
        <v>31</v>
      </c>
      <c r="E49" s="20">
        <f t="shared" si="28"/>
        <v>195000</v>
      </c>
      <c r="F49" s="20">
        <f>IF(AND(A48="",A50=""),"",IF(A49="",ROUND(SUM($F$29:F48),2),IF(A49=$D$8,$E$28-ROUND(SUM($F$29:F48),2),ROUND($E$28/$D$8,2))))</f>
        <v>5000</v>
      </c>
      <c r="G49" s="20">
        <f ca="1">IF(A48=$D$8,ROUND(SUM($G$29:G48),2),IF(A49&gt;$F$8,"",IF(T49&lt;&gt;T48,ROUND(SUM(V49*$F$9*E48/T49,W49*$F$9*E48/T48),2),ROUND(E48*$F$9*D49/T48,2))))</f>
        <v>5094.1899999999996</v>
      </c>
      <c r="H49" s="20">
        <f ca="1">IF(A48=$D$8,SUM($H$29:H48),IF(A48&gt;$D$8,"",F49+G49))</f>
        <v>10094.189999999999</v>
      </c>
      <c r="I49" s="20" t="str">
        <f t="shared" si="22"/>
        <v/>
      </c>
      <c r="J49" s="20" t="str">
        <f t="shared" si="23"/>
        <v/>
      </c>
      <c r="K49" s="20" t="str">
        <f t="shared" si="24"/>
        <v/>
      </c>
      <c r="L49" s="153" t="str">
        <f t="shared" si="25"/>
        <v/>
      </c>
      <c r="M49" s="20" t="str">
        <f t="shared" si="30"/>
        <v/>
      </c>
      <c r="N49" s="20" t="str">
        <f t="shared" si="18"/>
        <v/>
      </c>
      <c r="O49" s="20" t="str">
        <f t="shared" si="19"/>
        <v/>
      </c>
      <c r="P49" s="20"/>
      <c r="Q49" s="66" t="str">
        <f>IF(A48=$D$8,XIRR(H$28:H48,C$28:C48),"")</f>
        <v/>
      </c>
      <c r="R49" s="20" t="str">
        <f t="shared" si="6"/>
        <v/>
      </c>
      <c r="S49" s="14">
        <f t="shared" ca="1" si="7"/>
        <v>2023</v>
      </c>
      <c r="T49" s="14">
        <f t="shared" ca="1" si="8"/>
        <v>365</v>
      </c>
      <c r="U49" s="14">
        <f t="shared" ca="1" si="9"/>
        <v>12</v>
      </c>
      <c r="V49" s="15">
        <f t="shared" ca="1" si="10"/>
        <v>11</v>
      </c>
      <c r="W49" s="16">
        <f t="shared" ca="1" si="11"/>
        <v>20</v>
      </c>
      <c r="X49" s="14"/>
    </row>
    <row r="50" spans="1:24" x14ac:dyDescent="0.35">
      <c r="A50" s="23">
        <f t="shared" si="12"/>
        <v>22</v>
      </c>
      <c r="B50" s="19">
        <f ca="1">EDATE($B$28,22)</f>
        <v>45058</v>
      </c>
      <c r="C50" s="19">
        <f t="shared" ca="1" si="5"/>
        <v>45058</v>
      </c>
      <c r="D50" s="23">
        <f t="shared" ca="1" si="27"/>
        <v>30</v>
      </c>
      <c r="E50" s="20">
        <f t="shared" si="28"/>
        <v>190000</v>
      </c>
      <c r="F50" s="20">
        <f>IF(AND(A49="",A51=""),"",IF(A50="",ROUND(SUM($F$29:F49),2),IF(A50=$D$8,$E$28-ROUND(SUM($F$29:F49),2),ROUND($E$28/$D$8,2))))</f>
        <v>5000</v>
      </c>
      <c r="G50" s="20">
        <f ca="1">IF(A49=$D$8,ROUND(SUM($G$29:G49),2),IF(A50&gt;$F$8,"",IF(T50&lt;&gt;T49,ROUND(SUM(V50*$F$9*E49/T50,W50*$F$9*E49/T49),2),ROUND(E49*$F$9*D50/T49,2))))</f>
        <v>4806.62</v>
      </c>
      <c r="H50" s="20">
        <f ca="1">IF(A49=$D$8,SUM($H$29:H49),IF(A49&gt;$D$8,"",F50+G50))</f>
        <v>9806.619999999999</v>
      </c>
      <c r="I50" s="20" t="str">
        <f t="shared" si="22"/>
        <v/>
      </c>
      <c r="J50" s="20" t="str">
        <f t="shared" si="23"/>
        <v/>
      </c>
      <c r="K50" s="20" t="str">
        <f t="shared" si="24"/>
        <v/>
      </c>
      <c r="L50" s="153" t="str">
        <f t="shared" si="25"/>
        <v/>
      </c>
      <c r="M50" s="20" t="str">
        <f t="shared" si="30"/>
        <v/>
      </c>
      <c r="N50" s="20" t="str">
        <f t="shared" si="18"/>
        <v/>
      </c>
      <c r="O50" s="20" t="str">
        <f t="shared" si="19"/>
        <v/>
      </c>
      <c r="P50" s="20"/>
      <c r="Q50" s="66" t="str">
        <f>IF(A49=$D$8,XIRR(H$28:H49,C$28:C49),"")</f>
        <v/>
      </c>
      <c r="R50" s="20" t="str">
        <f t="shared" si="6"/>
        <v/>
      </c>
      <c r="S50" s="14">
        <f t="shared" ca="1" si="7"/>
        <v>2023</v>
      </c>
      <c r="T50" s="14">
        <f t="shared" ca="1" si="8"/>
        <v>365</v>
      </c>
      <c r="U50" s="14">
        <f t="shared" ca="1" si="9"/>
        <v>12</v>
      </c>
      <c r="V50" s="15">
        <f t="shared" ca="1" si="10"/>
        <v>11</v>
      </c>
      <c r="W50" s="16">
        <f t="shared" ca="1" si="11"/>
        <v>19</v>
      </c>
      <c r="X50" s="14"/>
    </row>
    <row r="51" spans="1:24" x14ac:dyDescent="0.35">
      <c r="A51" s="23">
        <f t="shared" si="12"/>
        <v>23</v>
      </c>
      <c r="B51" s="19">
        <f ca="1">EDATE($B$28,23)</f>
        <v>45089</v>
      </c>
      <c r="C51" s="19">
        <f t="shared" ca="1" si="5"/>
        <v>45089</v>
      </c>
      <c r="D51" s="23">
        <f t="shared" ca="1" si="27"/>
        <v>31</v>
      </c>
      <c r="E51" s="20">
        <f t="shared" si="28"/>
        <v>185000</v>
      </c>
      <c r="F51" s="20">
        <f>IF(AND(A50="",A52=""),"",IF(A51="",ROUND(SUM($F$29:F50),2),IF(A51=$D$8,$E$28-ROUND(SUM($F$29:F50),2),ROUND($E$28/$D$8,2))))</f>
        <v>5000</v>
      </c>
      <c r="G51" s="20">
        <f ca="1">IF(A50=$D$8,ROUND(SUM($G$29:G50),2),IF(A51&gt;$F$8,"",IF(T51&lt;&gt;T50,ROUND(SUM(V51*$F$9*E50/T51,W51*$F$9*E50/T50),2),ROUND(E50*$F$9*D51/T50,2))))</f>
        <v>4839.4799999999996</v>
      </c>
      <c r="H51" s="20">
        <f ca="1">IF(A50=$D$8,SUM($H$29:H50),IF(A50&gt;$D$8,"",F51+G51))</f>
        <v>9839.48</v>
      </c>
      <c r="I51" s="20" t="str">
        <f t="shared" si="22"/>
        <v/>
      </c>
      <c r="J51" s="20" t="str">
        <f t="shared" si="23"/>
        <v/>
      </c>
      <c r="K51" s="20" t="str">
        <f t="shared" si="24"/>
        <v/>
      </c>
      <c r="L51" s="153" t="str">
        <f t="shared" si="25"/>
        <v/>
      </c>
      <c r="M51" s="20" t="str">
        <f t="shared" si="30"/>
        <v/>
      </c>
      <c r="N51" s="20" t="str">
        <f t="shared" si="18"/>
        <v/>
      </c>
      <c r="O51" s="20" t="str">
        <f t="shared" si="19"/>
        <v/>
      </c>
      <c r="P51" s="20"/>
      <c r="Q51" s="66" t="str">
        <f>IF(A50=$D$8,XIRR(H$28:H50,C$28:C50),"")</f>
        <v/>
      </c>
      <c r="R51" s="20" t="str">
        <f t="shared" si="6"/>
        <v/>
      </c>
      <c r="S51" s="14">
        <f t="shared" ca="1" si="7"/>
        <v>2023</v>
      </c>
      <c r="T51" s="14">
        <f t="shared" ca="1" si="8"/>
        <v>365</v>
      </c>
      <c r="U51" s="14">
        <f t="shared" ca="1" si="9"/>
        <v>12</v>
      </c>
      <c r="V51" s="15">
        <f t="shared" ca="1" si="10"/>
        <v>11</v>
      </c>
      <c r="W51" s="16">
        <f t="shared" ca="1" si="11"/>
        <v>20</v>
      </c>
      <c r="X51" s="14"/>
    </row>
    <row r="52" spans="1:24" x14ac:dyDescent="0.35">
      <c r="A52" s="23">
        <f t="shared" si="12"/>
        <v>24</v>
      </c>
      <c r="B52" s="19">
        <f ca="1">EDATE($B$28,24)</f>
        <v>45119</v>
      </c>
      <c r="C52" s="19">
        <f t="shared" ca="1" si="5"/>
        <v>45119</v>
      </c>
      <c r="D52" s="23">
        <f t="shared" ca="1" si="27"/>
        <v>30</v>
      </c>
      <c r="E52" s="20">
        <f t="shared" si="28"/>
        <v>180000</v>
      </c>
      <c r="F52" s="20">
        <f>IF(AND(A51="",A53=""),"",IF(A52="",ROUND(SUM($F$29:F51),2),IF(A52=$D$8,$E$28-ROUND(SUM($F$29:F51),2),ROUND($E$28/$D$8,2))))</f>
        <v>5000</v>
      </c>
      <c r="G52" s="20">
        <f ca="1">IF(A51=$D$8,ROUND(SUM($G$29:G51),2),IF(A52&gt;$F$8,"",IF(T52&lt;&gt;T51,ROUND(SUM(V52*$F$9*E51/T52,W52*$F$9*E51/T51),2),ROUND(E51*$F$9*D52/T51,2))))</f>
        <v>4560.12</v>
      </c>
      <c r="H52" s="20">
        <f ca="1">IF(A51=$D$8,SUM($H$29:H51),IF(A51&gt;$D$8,"",F52+G52))</f>
        <v>9560.119999999999</v>
      </c>
      <c r="I52" s="20" t="str">
        <f t="shared" si="22"/>
        <v/>
      </c>
      <c r="J52" s="20" t="str">
        <f t="shared" si="23"/>
        <v/>
      </c>
      <c r="K52" s="20" t="str">
        <f t="shared" si="24"/>
        <v/>
      </c>
      <c r="L52" s="153" t="str">
        <f t="shared" si="25"/>
        <v/>
      </c>
      <c r="M52" s="20" t="str">
        <f t="shared" si="30"/>
        <v/>
      </c>
      <c r="N52" s="20" t="str">
        <f t="shared" si="18"/>
        <v/>
      </c>
      <c r="O52" s="20" t="str">
        <f t="shared" si="19"/>
        <v/>
      </c>
      <c r="P52" s="20"/>
      <c r="Q52" s="66" t="str">
        <f>IF(A51=$D$8,XIRR(H$28:H51,C$28:C51),"")</f>
        <v/>
      </c>
      <c r="R52" s="20" t="str">
        <f t="shared" si="6"/>
        <v/>
      </c>
      <c r="S52" s="14">
        <f t="shared" ca="1" si="7"/>
        <v>2023</v>
      </c>
      <c r="T52" s="14">
        <f t="shared" ca="1" si="8"/>
        <v>365</v>
      </c>
      <c r="U52" s="14">
        <f t="shared" ca="1" si="9"/>
        <v>12</v>
      </c>
      <c r="V52" s="15">
        <f t="shared" ca="1" si="10"/>
        <v>11</v>
      </c>
      <c r="W52" s="16">
        <f t="shared" ca="1" si="11"/>
        <v>19</v>
      </c>
      <c r="X52" s="14"/>
    </row>
    <row r="53" spans="1:24" x14ac:dyDescent="0.35">
      <c r="A53" s="23">
        <f t="shared" si="12"/>
        <v>25</v>
      </c>
      <c r="B53" s="19">
        <f ca="1">EDATE($B$28,25)</f>
        <v>45150</v>
      </c>
      <c r="C53" s="19">
        <f t="shared" ca="1" si="5"/>
        <v>45150</v>
      </c>
      <c r="D53" s="23">
        <f t="shared" ca="1" si="27"/>
        <v>31</v>
      </c>
      <c r="E53" s="20">
        <f t="shared" si="28"/>
        <v>175000</v>
      </c>
      <c r="F53" s="20">
        <f>IF(AND(A52="",A54=""),"",IF(A53="",ROUND(SUM($F$29:F52),2),IF(A53=$D$8,$E$28-ROUND(SUM($F$29:F52),2),ROUND($E$28/$D$8,2))))</f>
        <v>5000</v>
      </c>
      <c r="G53" s="20">
        <f ca="1">IF(A52=$D$8,ROUND(SUM($G$29:G52),2),IF(A53&gt;$F$8,"",IF(T53&lt;&gt;T52,ROUND(SUM(V53*$F$9*E52/T53,W53*$F$9*E52/T52),2),ROUND(E52*$F$9*D53/T52,2))))</f>
        <v>4584.7700000000004</v>
      </c>
      <c r="H53" s="20">
        <f ca="1">IF(A52=$D$8,SUM($H$29:H52),IF(A52&gt;$D$8,"",F53+G53))</f>
        <v>9584.77</v>
      </c>
      <c r="I53" s="20" t="str">
        <f t="shared" si="22"/>
        <v/>
      </c>
      <c r="J53" s="20" t="str">
        <f t="shared" si="23"/>
        <v/>
      </c>
      <c r="K53" s="20" t="str">
        <f t="shared" si="24"/>
        <v/>
      </c>
      <c r="L53" s="153" t="str">
        <f t="shared" si="25"/>
        <v/>
      </c>
      <c r="M53" s="20" t="str">
        <f t="shared" si="30"/>
        <v/>
      </c>
      <c r="N53" s="20" t="str">
        <f t="shared" si="18"/>
        <v/>
      </c>
      <c r="O53" s="20" t="str">
        <f t="shared" si="19"/>
        <v/>
      </c>
      <c r="P53" s="20"/>
      <c r="Q53" s="66" t="str">
        <f>IF(A52=$D$8,XIRR(H$28:H52,C$28:C52),"")</f>
        <v/>
      </c>
      <c r="R53" s="20" t="str">
        <f t="shared" si="6"/>
        <v/>
      </c>
      <c r="S53" s="14">
        <f t="shared" ca="1" si="7"/>
        <v>2023</v>
      </c>
      <c r="T53" s="14">
        <f t="shared" ca="1" si="8"/>
        <v>365</v>
      </c>
      <c r="U53" s="14">
        <f t="shared" ca="1" si="9"/>
        <v>12</v>
      </c>
      <c r="V53" s="15">
        <f t="shared" ca="1" si="10"/>
        <v>11</v>
      </c>
      <c r="W53" s="16">
        <f t="shared" ca="1" si="11"/>
        <v>20</v>
      </c>
      <c r="X53" s="14"/>
    </row>
    <row r="54" spans="1:24" x14ac:dyDescent="0.35">
      <c r="A54" s="23">
        <f t="shared" si="12"/>
        <v>26</v>
      </c>
      <c r="B54" s="19">
        <f ca="1">EDATE($B$28,26)</f>
        <v>45181</v>
      </c>
      <c r="C54" s="19">
        <f t="shared" ca="1" si="5"/>
        <v>45181</v>
      </c>
      <c r="D54" s="23">
        <f t="shared" ca="1" si="27"/>
        <v>31</v>
      </c>
      <c r="E54" s="20">
        <f t="shared" si="28"/>
        <v>170000</v>
      </c>
      <c r="F54" s="20">
        <f>IF(AND(A53="",A55=""),"",IF(A54="",ROUND(SUM($F$29:F53),2),IF(A54=$D$8,$E$28-ROUND(SUM($F$29:F53),2),ROUND($E$28/$D$8,2))))</f>
        <v>5000</v>
      </c>
      <c r="G54" s="20">
        <f ca="1">IF(A53=$D$8,ROUND(SUM($G$29:G53),2),IF(A54&gt;$F$8,"",IF(T54&lt;&gt;T53,ROUND(SUM(V54*$F$9*E53/T54,W54*$F$9*E53/T53),2),ROUND(E53*$F$9*D54/T53,2))))</f>
        <v>4457.42</v>
      </c>
      <c r="H54" s="20">
        <f ca="1">IF(A53=$D$8,SUM($H$29:H53),IF(A53&gt;$D$8,"",F54+G54))</f>
        <v>9457.42</v>
      </c>
      <c r="I54" s="20" t="str">
        <f t="shared" si="22"/>
        <v/>
      </c>
      <c r="J54" s="20" t="str">
        <f t="shared" si="23"/>
        <v/>
      </c>
      <c r="K54" s="20" t="str">
        <f t="shared" si="24"/>
        <v/>
      </c>
      <c r="L54" s="153" t="str">
        <f t="shared" si="25"/>
        <v/>
      </c>
      <c r="M54" s="20" t="str">
        <f t="shared" si="30"/>
        <v/>
      </c>
      <c r="N54" s="20" t="str">
        <f t="shared" si="18"/>
        <v/>
      </c>
      <c r="O54" s="20" t="str">
        <f t="shared" si="19"/>
        <v/>
      </c>
      <c r="P54" s="20"/>
      <c r="Q54" s="66" t="str">
        <f>IF(A53=$D$8,XIRR(H$28:H53,C$28:C53),"")</f>
        <v/>
      </c>
      <c r="R54" s="20" t="str">
        <f t="shared" si="6"/>
        <v/>
      </c>
      <c r="S54" s="14">
        <f t="shared" ca="1" si="7"/>
        <v>2023</v>
      </c>
      <c r="T54" s="14">
        <f t="shared" ca="1" si="8"/>
        <v>365</v>
      </c>
      <c r="U54" s="14">
        <f t="shared" ca="1" si="9"/>
        <v>12</v>
      </c>
      <c r="V54" s="15">
        <f t="shared" ca="1" si="10"/>
        <v>11</v>
      </c>
      <c r="W54" s="16">
        <f t="shared" ca="1" si="11"/>
        <v>20</v>
      </c>
      <c r="X54" s="14"/>
    </row>
    <row r="55" spans="1:24" x14ac:dyDescent="0.35">
      <c r="A55" s="23">
        <f t="shared" si="12"/>
        <v>27</v>
      </c>
      <c r="B55" s="19">
        <f ca="1">EDATE($B$28,27)</f>
        <v>45211</v>
      </c>
      <c r="C55" s="19">
        <f t="shared" ca="1" si="5"/>
        <v>45211</v>
      </c>
      <c r="D55" s="23">
        <f t="shared" ca="1" si="27"/>
        <v>30</v>
      </c>
      <c r="E55" s="20">
        <f t="shared" si="28"/>
        <v>165000</v>
      </c>
      <c r="F55" s="20">
        <f>IF(AND(A54="",A56=""),"",IF(A55="",ROUND(SUM($F$29:F54),2),IF(A55=$D$8,$E$28-ROUND(SUM($F$29:F54),2),ROUND($E$28/$D$8,2))))</f>
        <v>5000</v>
      </c>
      <c r="G55" s="20">
        <f ca="1">IF(A54=$D$8,ROUND(SUM($G$29:G54),2),IF(A55&gt;$F$8,"",IF(T55&lt;&gt;T54,ROUND(SUM(V55*$F$9*E54/T55,W55*$F$9*E54/T54),2),ROUND(E54*$F$9*D55/T54,2))))</f>
        <v>4190.38</v>
      </c>
      <c r="H55" s="20">
        <f ca="1">IF(A54=$D$8,SUM($H$29:H54),IF(A54&gt;$D$8,"",F55+G55))</f>
        <v>9190.380000000001</v>
      </c>
      <c r="I55" s="20" t="str">
        <f t="shared" si="22"/>
        <v/>
      </c>
      <c r="J55" s="20" t="str">
        <f t="shared" si="23"/>
        <v/>
      </c>
      <c r="K55" s="20" t="str">
        <f t="shared" si="24"/>
        <v/>
      </c>
      <c r="L55" s="153" t="str">
        <f t="shared" si="25"/>
        <v/>
      </c>
      <c r="M55" s="20" t="str">
        <f t="shared" si="30"/>
        <v/>
      </c>
      <c r="N55" s="20" t="str">
        <f t="shared" si="18"/>
        <v/>
      </c>
      <c r="O55" s="20" t="str">
        <f t="shared" si="19"/>
        <v/>
      </c>
      <c r="P55" s="20"/>
      <c r="Q55" s="66" t="str">
        <f>IF(A54=$D$8,XIRR(H$28:H54,C$28:C54),"")</f>
        <v/>
      </c>
      <c r="R55" s="20" t="str">
        <f t="shared" si="6"/>
        <v/>
      </c>
      <c r="S55" s="14">
        <f t="shared" ca="1" si="7"/>
        <v>2023</v>
      </c>
      <c r="T55" s="14">
        <f t="shared" ca="1" si="8"/>
        <v>365</v>
      </c>
      <c r="U55" s="14">
        <f t="shared" ca="1" si="9"/>
        <v>12</v>
      </c>
      <c r="V55" s="15">
        <f t="shared" ca="1" si="10"/>
        <v>11</v>
      </c>
      <c r="W55" s="16">
        <f t="shared" ca="1" si="11"/>
        <v>19</v>
      </c>
      <c r="X55" s="14"/>
    </row>
    <row r="56" spans="1:24" x14ac:dyDescent="0.35">
      <c r="A56" s="23">
        <f t="shared" si="12"/>
        <v>28</v>
      </c>
      <c r="B56" s="19">
        <f ca="1">EDATE($B$28,28)</f>
        <v>45242</v>
      </c>
      <c r="C56" s="19">
        <f t="shared" ca="1" si="5"/>
        <v>45242</v>
      </c>
      <c r="D56" s="23">
        <f t="shared" ca="1" si="27"/>
        <v>31</v>
      </c>
      <c r="E56" s="20">
        <f t="shared" si="28"/>
        <v>160000</v>
      </c>
      <c r="F56" s="20">
        <f>IF(AND(A55="",A57=""),"",IF(A56="",ROUND(SUM($F$29:F55),2),IF(A56=$D$8,$E$28-ROUND(SUM($F$29:F55),2),ROUND($E$28/$D$8,2))))</f>
        <v>5000</v>
      </c>
      <c r="G56" s="20">
        <f ca="1">IF(A55=$D$8,ROUND(SUM($G$29:G55),2),IF(A56&gt;$F$8,"",IF(T56&lt;&gt;T55,ROUND(SUM(V56*$F$9*E55/T56,W56*$F$9*E55/T55),2),ROUND(E55*$F$9*D56/T55,2))))</f>
        <v>4202.71</v>
      </c>
      <c r="H56" s="20">
        <f ca="1">IF(A55=$D$8,SUM($H$29:H55),IF(A55&gt;$D$8,"",F56+G56))</f>
        <v>9202.7099999999991</v>
      </c>
      <c r="I56" s="20" t="str">
        <f t="shared" si="22"/>
        <v/>
      </c>
      <c r="J56" s="20" t="str">
        <f t="shared" si="23"/>
        <v/>
      </c>
      <c r="K56" s="20" t="str">
        <f t="shared" si="24"/>
        <v/>
      </c>
      <c r="L56" s="153" t="str">
        <f t="shared" si="25"/>
        <v/>
      </c>
      <c r="M56" s="20" t="str">
        <f t="shared" si="30"/>
        <v/>
      </c>
      <c r="N56" s="20" t="str">
        <f t="shared" si="18"/>
        <v/>
      </c>
      <c r="O56" s="20" t="str">
        <f t="shared" si="19"/>
        <v/>
      </c>
      <c r="P56" s="20"/>
      <c r="Q56" s="66" t="str">
        <f>IF(A55=$D$8,XIRR(H$28:H55,C$28:C55),"")</f>
        <v/>
      </c>
      <c r="R56" s="20" t="str">
        <f t="shared" si="6"/>
        <v/>
      </c>
      <c r="S56" s="14">
        <f t="shared" ca="1" si="7"/>
        <v>2023</v>
      </c>
      <c r="T56" s="14">
        <f t="shared" ca="1" si="8"/>
        <v>365</v>
      </c>
      <c r="U56" s="14">
        <f t="shared" ca="1" si="9"/>
        <v>12</v>
      </c>
      <c r="V56" s="15">
        <f t="shared" ca="1" si="10"/>
        <v>11</v>
      </c>
      <c r="W56" s="16">
        <f t="shared" ca="1" si="11"/>
        <v>20</v>
      </c>
      <c r="X56" s="14"/>
    </row>
    <row r="57" spans="1:24" x14ac:dyDescent="0.35">
      <c r="A57" s="23">
        <f t="shared" si="12"/>
        <v>29</v>
      </c>
      <c r="B57" s="19">
        <f ca="1">EDATE($B$28,29)</f>
        <v>45272</v>
      </c>
      <c r="C57" s="19">
        <f t="shared" ca="1" si="5"/>
        <v>45272</v>
      </c>
      <c r="D57" s="23">
        <f t="shared" ca="1" si="27"/>
        <v>30</v>
      </c>
      <c r="E57" s="20">
        <f t="shared" si="28"/>
        <v>155000</v>
      </c>
      <c r="F57" s="20">
        <f>IF(AND(A56="",A58=""),"",IF(A57="",ROUND(SUM($F$29:F56),2),IF(A57=$D$8,$E$28-ROUND(SUM($F$29:F56),2),ROUND($E$28/$D$8,2))))</f>
        <v>5000</v>
      </c>
      <c r="G57" s="20">
        <f ca="1">IF(A56=$D$8,ROUND(SUM($G$29:G56),2),IF(A57&gt;$F$8,"",IF(T57&lt;&gt;T56,ROUND(SUM(V57*$F$9*E56/T57,W57*$F$9*E56/T56),2),ROUND(E56*$F$9*D57/T56,2))))</f>
        <v>3943.89</v>
      </c>
      <c r="H57" s="20">
        <f ca="1">IF(A56=$D$8,SUM($H$29:H56),IF(A56&gt;$D$8,"",F57+G57))</f>
        <v>8943.89</v>
      </c>
      <c r="I57" s="20" t="str">
        <f t="shared" si="22"/>
        <v/>
      </c>
      <c r="J57" s="20" t="str">
        <f t="shared" si="23"/>
        <v/>
      </c>
      <c r="K57" s="20" t="str">
        <f t="shared" si="24"/>
        <v/>
      </c>
      <c r="L57" s="153" t="str">
        <f t="shared" si="25"/>
        <v/>
      </c>
      <c r="M57" s="20" t="str">
        <f t="shared" si="30"/>
        <v/>
      </c>
      <c r="N57" s="20" t="str">
        <f t="shared" si="18"/>
        <v/>
      </c>
      <c r="O57" s="20" t="str">
        <f t="shared" si="19"/>
        <v/>
      </c>
      <c r="P57" s="20"/>
      <c r="Q57" s="66" t="str">
        <f>IF(A56=$D$8,XIRR(H$28:H56,C$28:C56),"")</f>
        <v/>
      </c>
      <c r="R57" s="20" t="str">
        <f t="shared" si="6"/>
        <v/>
      </c>
      <c r="S57" s="14">
        <f t="shared" ca="1" si="7"/>
        <v>2023</v>
      </c>
      <c r="T57" s="14">
        <f t="shared" ca="1" si="8"/>
        <v>365</v>
      </c>
      <c r="U57" s="14">
        <f t="shared" ca="1" si="9"/>
        <v>12</v>
      </c>
      <c r="V57" s="15">
        <f t="shared" ca="1" si="10"/>
        <v>11</v>
      </c>
      <c r="W57" s="16">
        <f t="shared" ca="1" si="11"/>
        <v>19</v>
      </c>
      <c r="X57" s="14"/>
    </row>
    <row r="58" spans="1:24" x14ac:dyDescent="0.35">
      <c r="A58" s="23">
        <f t="shared" si="12"/>
        <v>30</v>
      </c>
      <c r="B58" s="19">
        <f ca="1">EDATE($B$28,30)</f>
        <v>45303</v>
      </c>
      <c r="C58" s="19">
        <f t="shared" ca="1" si="5"/>
        <v>45303</v>
      </c>
      <c r="D58" s="23">
        <f t="shared" ca="1" si="27"/>
        <v>31</v>
      </c>
      <c r="E58" s="20">
        <f t="shared" si="28"/>
        <v>150000</v>
      </c>
      <c r="F58" s="20">
        <f>IF(AND(A57="",A59=""),"",IF(A58="",ROUND(SUM($F$29:F57),2),IF(A58=$D$8,$E$28-ROUND(SUM($F$29:F57),2),ROUND($E$28/$D$8,2))))</f>
        <v>5000</v>
      </c>
      <c r="G58" s="20">
        <f ca="1">IF(A57=$D$8,ROUND(SUM($G$29:G57),2),IF(A58&gt;$F$8,"",IF(T58&lt;&gt;T57,ROUND(SUM(V58*$F$9*E57/T58,W58*$F$9*E57/T57),2),ROUND(E57*$F$9*D58/T57,2))))</f>
        <v>3944.17</v>
      </c>
      <c r="H58" s="20">
        <f ca="1">IF(A57=$D$8,SUM($H$29:H57),IF(A57&gt;$D$8,"",F58+G58))</f>
        <v>8944.17</v>
      </c>
      <c r="I58" s="20" t="str">
        <f t="shared" si="22"/>
        <v/>
      </c>
      <c r="J58" s="20" t="str">
        <f t="shared" si="23"/>
        <v/>
      </c>
      <c r="K58" s="20" t="str">
        <f t="shared" si="24"/>
        <v/>
      </c>
      <c r="L58" s="153" t="str">
        <f t="shared" si="25"/>
        <v/>
      </c>
      <c r="M58" s="20" t="str">
        <f t="shared" si="30"/>
        <v/>
      </c>
      <c r="N58" s="20" t="str">
        <f t="shared" si="18"/>
        <v/>
      </c>
      <c r="O58" s="20" t="str">
        <f t="shared" si="19"/>
        <v/>
      </c>
      <c r="P58" s="20"/>
      <c r="Q58" s="66" t="str">
        <f>IF(A57=$D$8,XIRR(H$28:H57,C$28:C57),"")</f>
        <v/>
      </c>
      <c r="R58" s="20" t="str">
        <f t="shared" si="6"/>
        <v/>
      </c>
      <c r="S58" s="14">
        <f t="shared" ca="1" si="7"/>
        <v>2024</v>
      </c>
      <c r="T58" s="14">
        <f t="shared" ca="1" si="8"/>
        <v>366</v>
      </c>
      <c r="U58" s="14">
        <f t="shared" ca="1" si="9"/>
        <v>12</v>
      </c>
      <c r="V58" s="15">
        <f t="shared" ca="1" si="10"/>
        <v>11</v>
      </c>
      <c r="W58" s="16">
        <f t="shared" ca="1" si="11"/>
        <v>20</v>
      </c>
      <c r="X58" s="14"/>
    </row>
    <row r="59" spans="1:24" x14ac:dyDescent="0.35">
      <c r="A59" s="23">
        <f t="shared" si="12"/>
        <v>31</v>
      </c>
      <c r="B59" s="19">
        <f ca="1">EDATE($B$28,31)</f>
        <v>45334</v>
      </c>
      <c r="C59" s="19">
        <f t="shared" ca="1" si="5"/>
        <v>45334</v>
      </c>
      <c r="D59" s="23">
        <f t="shared" ca="1" si="27"/>
        <v>31</v>
      </c>
      <c r="E59" s="20">
        <f t="shared" si="28"/>
        <v>145000</v>
      </c>
      <c r="F59" s="20">
        <f>IF(AND(A58="",A60=""),"",IF(A59="",ROUND(SUM($F$29:F58),2),IF(A59=$D$8,$E$28-ROUND(SUM($F$29:F58),2),ROUND($E$28/$D$8,2))))</f>
        <v>5000</v>
      </c>
      <c r="G59" s="20">
        <f ca="1">IF(A58=$D$8,ROUND(SUM($G$29:G58),2),IF(A59&gt;$F$8,"",IF(T59&lt;&gt;T58,ROUND(SUM(V59*$F$9*E58/T59,W59*$F$9*E58/T58),2),ROUND(E58*$F$9*D59/T58,2))))</f>
        <v>3810.2</v>
      </c>
      <c r="H59" s="20">
        <f ca="1">IF(A58=$D$8,SUM($H$29:H58),IF(A58&gt;$D$8,"",F59+G59))</f>
        <v>8810.2000000000007</v>
      </c>
      <c r="I59" s="20" t="str">
        <f t="shared" si="22"/>
        <v/>
      </c>
      <c r="J59" s="20" t="str">
        <f t="shared" si="23"/>
        <v/>
      </c>
      <c r="K59" s="20" t="str">
        <f t="shared" si="24"/>
        <v/>
      </c>
      <c r="L59" s="153" t="str">
        <f t="shared" si="25"/>
        <v/>
      </c>
      <c r="M59" s="20" t="str">
        <f t="shared" si="30"/>
        <v/>
      </c>
      <c r="N59" s="20" t="str">
        <f t="shared" si="18"/>
        <v/>
      </c>
      <c r="O59" s="20" t="str">
        <f t="shared" si="19"/>
        <v/>
      </c>
      <c r="P59" s="20"/>
      <c r="Q59" s="66" t="str">
        <f>IF(A58=$D$8,XIRR(H$28:H58,C$28:C58),"")</f>
        <v/>
      </c>
      <c r="R59" s="20" t="str">
        <f t="shared" si="6"/>
        <v/>
      </c>
      <c r="S59" s="14">
        <f t="shared" ca="1" si="7"/>
        <v>2024</v>
      </c>
      <c r="T59" s="14">
        <f t="shared" ca="1" si="8"/>
        <v>366</v>
      </c>
      <c r="U59" s="14">
        <f t="shared" ca="1" si="9"/>
        <v>12</v>
      </c>
      <c r="V59" s="15">
        <f t="shared" ca="1" si="10"/>
        <v>11</v>
      </c>
      <c r="W59" s="16">
        <f t="shared" ca="1" si="11"/>
        <v>20</v>
      </c>
      <c r="X59" s="14"/>
    </row>
    <row r="60" spans="1:24" x14ac:dyDescent="0.35">
      <c r="A60" s="23">
        <f t="shared" si="12"/>
        <v>32</v>
      </c>
      <c r="B60" s="19">
        <f ca="1">EDATE($B$28,32)</f>
        <v>45363</v>
      </c>
      <c r="C60" s="19">
        <f t="shared" ca="1" si="5"/>
        <v>45363</v>
      </c>
      <c r="D60" s="23">
        <f t="shared" ca="1" si="27"/>
        <v>29</v>
      </c>
      <c r="E60" s="20">
        <f t="shared" si="28"/>
        <v>140000</v>
      </c>
      <c r="F60" s="20">
        <f>IF(AND(A59="",A61=""),"",IF(A60="",ROUND(SUM($F$29:F59),2),IF(A60=$D$8,$E$28-ROUND(SUM($F$29:F59),2),ROUND($E$28/$D$8,2))))</f>
        <v>5000</v>
      </c>
      <c r="G60" s="20">
        <f ca="1">IF(A59=$D$8,ROUND(SUM($G$29:G59),2),IF(A60&gt;$F$8,"",IF(T60&lt;&gt;T59,ROUND(SUM(V60*$F$9*E59/T60,W60*$F$9*E59/T59),2),ROUND(E59*$F$9*D60/T59,2))))</f>
        <v>3445.57</v>
      </c>
      <c r="H60" s="20">
        <f ca="1">IF(A59=$D$8,SUM($H$29:H59),IF(A59&gt;$D$8,"",F60+G60))</f>
        <v>8445.57</v>
      </c>
      <c r="I60" s="20" t="str">
        <f t="shared" si="22"/>
        <v/>
      </c>
      <c r="J60" s="20" t="str">
        <f t="shared" si="23"/>
        <v/>
      </c>
      <c r="K60" s="20" t="str">
        <f t="shared" si="24"/>
        <v/>
      </c>
      <c r="L60" s="153" t="str">
        <f t="shared" si="25"/>
        <v/>
      </c>
      <c r="M60" s="20" t="str">
        <f t="shared" si="30"/>
        <v/>
      </c>
      <c r="N60" s="20" t="str">
        <f t="shared" si="18"/>
        <v/>
      </c>
      <c r="O60" s="20" t="str">
        <f t="shared" si="19"/>
        <v/>
      </c>
      <c r="P60" s="20"/>
      <c r="Q60" s="66" t="str">
        <f>IF(A59=$D$8,XIRR(H$28:H59,C$28:C59),"")</f>
        <v/>
      </c>
      <c r="R60" s="20" t="str">
        <f t="shared" si="6"/>
        <v/>
      </c>
      <c r="S60" s="14">
        <f t="shared" ca="1" si="7"/>
        <v>2024</v>
      </c>
      <c r="T60" s="14">
        <f t="shared" ca="1" si="8"/>
        <v>366</v>
      </c>
      <c r="U60" s="14">
        <f t="shared" ca="1" si="9"/>
        <v>12</v>
      </c>
      <c r="V60" s="15">
        <f t="shared" ca="1" si="10"/>
        <v>11</v>
      </c>
      <c r="W60" s="16">
        <f t="shared" ca="1" si="11"/>
        <v>18</v>
      </c>
      <c r="X60" s="14"/>
    </row>
    <row r="61" spans="1:24" x14ac:dyDescent="0.35">
      <c r="A61" s="23">
        <f t="shared" si="12"/>
        <v>33</v>
      </c>
      <c r="B61" s="19">
        <f ca="1">EDATE($B$28,33)</f>
        <v>45394</v>
      </c>
      <c r="C61" s="19">
        <f t="shared" ca="1" si="5"/>
        <v>45394</v>
      </c>
      <c r="D61" s="23">
        <f t="shared" ca="1" si="27"/>
        <v>31</v>
      </c>
      <c r="E61" s="20">
        <f t="shared" si="28"/>
        <v>135000</v>
      </c>
      <c r="F61" s="20">
        <f>IF(AND(A60="",A62=""),"",IF(A61="",ROUND(SUM($F$29:F60),2),IF(A61=$D$8,$E$28-ROUND(SUM($F$29:F60),2),ROUND($E$28/$D$8,2))))</f>
        <v>5000</v>
      </c>
      <c r="G61" s="20">
        <f ca="1">IF(A60=$D$8,ROUND(SUM($G$29:G60),2),IF(A61&gt;$F$8,"",IF(T61&lt;&gt;T60,ROUND(SUM(V61*$F$9*E60/T61,W61*$F$9*E60/T60),2),ROUND(E60*$F$9*D61/T60,2))))</f>
        <v>3556.19</v>
      </c>
      <c r="H61" s="20">
        <f ca="1">IF(A60=$D$8,SUM($H$29:H60),IF(A60&gt;$D$8,"",F61+G61))</f>
        <v>8556.19</v>
      </c>
      <c r="I61" s="20" t="str">
        <f t="shared" si="22"/>
        <v/>
      </c>
      <c r="J61" s="20" t="str">
        <f t="shared" si="23"/>
        <v/>
      </c>
      <c r="K61" s="20" t="str">
        <f t="shared" si="24"/>
        <v/>
      </c>
      <c r="L61" s="153" t="str">
        <f t="shared" si="25"/>
        <v/>
      </c>
      <c r="M61" s="20" t="str">
        <f t="shared" si="30"/>
        <v/>
      </c>
      <c r="N61" s="20" t="str">
        <f t="shared" si="18"/>
        <v/>
      </c>
      <c r="O61" s="20" t="str">
        <f t="shared" si="19"/>
        <v/>
      </c>
      <c r="P61" s="20"/>
      <c r="Q61" s="66" t="str">
        <f>IF(A60=$D$8,XIRR(H$28:H60,C$28:C60),"")</f>
        <v/>
      </c>
      <c r="R61" s="20" t="str">
        <f t="shared" si="6"/>
        <v/>
      </c>
      <c r="S61" s="14">
        <f t="shared" ca="1" si="7"/>
        <v>2024</v>
      </c>
      <c r="T61" s="14">
        <f t="shared" ca="1" si="8"/>
        <v>366</v>
      </c>
      <c r="U61" s="14">
        <f t="shared" ca="1" si="9"/>
        <v>12</v>
      </c>
      <c r="V61" s="15">
        <f t="shared" ca="1" si="10"/>
        <v>11</v>
      </c>
      <c r="W61" s="16">
        <f t="shared" ca="1" si="11"/>
        <v>20</v>
      </c>
      <c r="X61" s="14"/>
    </row>
    <row r="62" spans="1:24" x14ac:dyDescent="0.35">
      <c r="A62" s="23">
        <f t="shared" si="12"/>
        <v>34</v>
      </c>
      <c r="B62" s="19">
        <f ca="1">EDATE($B$28,34)</f>
        <v>45424</v>
      </c>
      <c r="C62" s="19">
        <f t="shared" ca="1" si="5"/>
        <v>45424</v>
      </c>
      <c r="D62" s="23">
        <f t="shared" ca="1" si="27"/>
        <v>30</v>
      </c>
      <c r="E62" s="20">
        <f t="shared" si="28"/>
        <v>130000</v>
      </c>
      <c r="F62" s="20">
        <f>IF(AND(A61="",A63=""),"",IF(A62="",ROUND(SUM($F$29:F61),2),IF(A62=$D$8,$E$28-ROUND(SUM($F$29:F61),2),ROUND($E$28/$D$8,2))))</f>
        <v>5000</v>
      </c>
      <c r="G62" s="20">
        <f ca="1">IF(A61=$D$8,ROUND(SUM($G$29:G61),2),IF(A62&gt;$F$8,"",IF(T62&lt;&gt;T61,ROUND(SUM(V62*$F$9*E61/T62,W62*$F$9*E61/T61),2),ROUND(E61*$F$9*D62/T61,2))))</f>
        <v>3318.57</v>
      </c>
      <c r="H62" s="20">
        <f ca="1">IF(A61=$D$8,SUM($H$29:H61),IF(A61&gt;$D$8,"",F62+G62))</f>
        <v>8318.57</v>
      </c>
      <c r="I62" s="20" t="str">
        <f t="shared" si="22"/>
        <v/>
      </c>
      <c r="J62" s="20" t="str">
        <f t="shared" si="23"/>
        <v/>
      </c>
      <c r="K62" s="20" t="str">
        <f t="shared" si="24"/>
        <v/>
      </c>
      <c r="L62" s="153" t="str">
        <f t="shared" si="25"/>
        <v/>
      </c>
      <c r="M62" s="20" t="str">
        <f t="shared" si="30"/>
        <v/>
      </c>
      <c r="N62" s="20" t="str">
        <f t="shared" si="18"/>
        <v/>
      </c>
      <c r="O62" s="20" t="str">
        <f t="shared" si="19"/>
        <v/>
      </c>
      <c r="P62" s="20"/>
      <c r="Q62" s="66" t="str">
        <f>IF(A61=$D$8,XIRR(H$28:H61,C$28:C61),"")</f>
        <v/>
      </c>
      <c r="R62" s="20" t="str">
        <f t="shared" si="6"/>
        <v/>
      </c>
      <c r="S62" s="14">
        <f t="shared" ca="1" si="7"/>
        <v>2024</v>
      </c>
      <c r="T62" s="14">
        <f t="shared" ca="1" si="8"/>
        <v>366</v>
      </c>
      <c r="U62" s="14">
        <f t="shared" ca="1" si="9"/>
        <v>12</v>
      </c>
      <c r="V62" s="15">
        <f t="shared" ca="1" si="10"/>
        <v>11</v>
      </c>
      <c r="W62" s="16">
        <f t="shared" ca="1" si="11"/>
        <v>19</v>
      </c>
      <c r="X62" s="14"/>
    </row>
    <row r="63" spans="1:24" x14ac:dyDescent="0.35">
      <c r="A63" s="23">
        <f t="shared" si="12"/>
        <v>35</v>
      </c>
      <c r="B63" s="19">
        <f ca="1">EDATE($B$28,35)</f>
        <v>45455</v>
      </c>
      <c r="C63" s="19">
        <f t="shared" ca="1" si="5"/>
        <v>45455</v>
      </c>
      <c r="D63" s="23">
        <f t="shared" ca="1" si="27"/>
        <v>31</v>
      </c>
      <c r="E63" s="20">
        <f t="shared" si="28"/>
        <v>125000</v>
      </c>
      <c r="F63" s="20">
        <f>IF(AND(A62="",A64=""),"",IF(A63="",ROUND(SUM($F$29:F62),2),IF(A63=$D$8,$E$28-ROUND(SUM($F$29:F62),2),ROUND($E$28/$D$8,2))))</f>
        <v>5000</v>
      </c>
      <c r="G63" s="20">
        <f ca="1">IF(A62=$D$8,ROUND(SUM($G$29:G62),2),IF(A63&gt;$F$8,"",IF(T63&lt;&gt;T62,ROUND(SUM(V63*$F$9*E62/T63,W63*$F$9*E62/T62),2),ROUND(E62*$F$9*D63/T62,2))))</f>
        <v>3302.18</v>
      </c>
      <c r="H63" s="20">
        <f ca="1">IF(A62=$D$8,SUM($H$29:H62),IF(A62&gt;$D$8,"",F63+G63))</f>
        <v>8302.18</v>
      </c>
      <c r="I63" s="20" t="str">
        <f t="shared" si="22"/>
        <v/>
      </c>
      <c r="J63" s="20" t="str">
        <f t="shared" si="23"/>
        <v/>
      </c>
      <c r="K63" s="20" t="str">
        <f t="shared" si="24"/>
        <v/>
      </c>
      <c r="L63" s="153" t="str">
        <f t="shared" si="25"/>
        <v/>
      </c>
      <c r="M63" s="20" t="str">
        <f t="shared" si="30"/>
        <v/>
      </c>
      <c r="N63" s="20" t="str">
        <f t="shared" si="18"/>
        <v/>
      </c>
      <c r="O63" s="20" t="str">
        <f t="shared" si="19"/>
        <v/>
      </c>
      <c r="P63" s="20"/>
      <c r="Q63" s="66" t="str">
        <f>IF(A62=$D$8,XIRR(H$28:H62,C$28:C62),"")</f>
        <v/>
      </c>
      <c r="R63" s="20" t="str">
        <f t="shared" si="6"/>
        <v/>
      </c>
      <c r="S63" s="14">
        <f t="shared" ca="1" si="7"/>
        <v>2024</v>
      </c>
      <c r="T63" s="14">
        <f t="shared" ca="1" si="8"/>
        <v>366</v>
      </c>
      <c r="U63" s="14">
        <f t="shared" ca="1" si="9"/>
        <v>12</v>
      </c>
      <c r="V63" s="15">
        <f t="shared" ca="1" si="10"/>
        <v>11</v>
      </c>
      <c r="W63" s="16">
        <f t="shared" ca="1" si="11"/>
        <v>20</v>
      </c>
      <c r="X63" s="14"/>
    </row>
    <row r="64" spans="1:24" x14ac:dyDescent="0.35">
      <c r="A64" s="23">
        <f t="shared" si="12"/>
        <v>36</v>
      </c>
      <c r="B64" s="19">
        <f ca="1">EDATE($B$28,36)</f>
        <v>45485</v>
      </c>
      <c r="C64" s="19">
        <f t="shared" ca="1" si="5"/>
        <v>45485</v>
      </c>
      <c r="D64" s="23">
        <f t="shared" ca="1" si="27"/>
        <v>30</v>
      </c>
      <c r="E64" s="20">
        <f t="shared" si="28"/>
        <v>120000</v>
      </c>
      <c r="F64" s="20">
        <f>IF(AND(A63="",A65=""),"",IF(A64="",ROUND(SUM($F$29:F63),2),IF(A64=$D$8,$E$28-ROUND(SUM($F$29:F63),2),ROUND($E$28/$D$8,2))))</f>
        <v>5000</v>
      </c>
      <c r="G64" s="20">
        <f ca="1">IF(A63=$D$8,ROUND(SUM($G$29:G63),2),IF(A64&gt;$F$8,"",IF(T64&lt;&gt;T63,ROUND(SUM(V64*$F$9*E63/T64,W64*$F$9*E63/T63),2),ROUND(E63*$F$9*D64/T63,2))))</f>
        <v>3072.75</v>
      </c>
      <c r="H64" s="20">
        <f ca="1">IF(A63=$D$8,SUM($H$29:H63),IF(A63&gt;$D$8,"",F64+G64))</f>
        <v>8072.75</v>
      </c>
      <c r="I64" s="20" t="str">
        <f t="shared" si="22"/>
        <v/>
      </c>
      <c r="J64" s="20" t="str">
        <f t="shared" si="23"/>
        <v/>
      </c>
      <c r="K64" s="20" t="str">
        <f t="shared" si="24"/>
        <v/>
      </c>
      <c r="L64" s="153" t="str">
        <f t="shared" si="25"/>
        <v/>
      </c>
      <c r="M64" s="20" t="str">
        <f t="shared" si="30"/>
        <v/>
      </c>
      <c r="N64" s="20" t="str">
        <f t="shared" si="18"/>
        <v/>
      </c>
      <c r="O64" s="20" t="str">
        <f t="shared" si="19"/>
        <v/>
      </c>
      <c r="P64" s="20"/>
      <c r="Q64" s="66" t="str">
        <f>IF(A63=$D$8,XIRR(H$28:H63,C$28:C63),"")</f>
        <v/>
      </c>
      <c r="R64" s="20" t="str">
        <f t="shared" si="6"/>
        <v/>
      </c>
      <c r="S64" s="14">
        <f t="shared" ca="1" si="7"/>
        <v>2024</v>
      </c>
      <c r="T64" s="14">
        <f t="shared" ca="1" si="8"/>
        <v>366</v>
      </c>
      <c r="U64" s="14">
        <f t="shared" ca="1" si="9"/>
        <v>12</v>
      </c>
      <c r="V64" s="15">
        <f t="shared" ca="1" si="10"/>
        <v>11</v>
      </c>
      <c r="W64" s="16">
        <f t="shared" ca="1" si="11"/>
        <v>19</v>
      </c>
      <c r="X64" s="14"/>
    </row>
    <row r="65" spans="1:24" x14ac:dyDescent="0.35">
      <c r="A65" s="23">
        <f t="shared" si="12"/>
        <v>37</v>
      </c>
      <c r="B65" s="19">
        <f ca="1">EDATE($B$28,37)</f>
        <v>45516</v>
      </c>
      <c r="C65" s="19">
        <f t="shared" ca="1" si="5"/>
        <v>45516</v>
      </c>
      <c r="D65" s="23">
        <f t="shared" ca="1" si="27"/>
        <v>31</v>
      </c>
      <c r="E65" s="20">
        <f t="shared" si="28"/>
        <v>115000</v>
      </c>
      <c r="F65" s="20">
        <f>IF(AND(A64="",A66=""),"",IF(A65="",ROUND(SUM($F$29:F64),2),IF(A65=$D$8,$E$28-ROUND(SUM($F$29:F64),2),ROUND($E$28/$D$8,2))))</f>
        <v>5000</v>
      </c>
      <c r="G65" s="20">
        <f ca="1">IF(A64=$D$8,ROUND(SUM($G$29:G64),2),IF(A65&gt;$F$8,"",IF(T65&lt;&gt;T64,ROUND(SUM(V65*$F$9*E64/T65,W65*$F$9*E64/T64),2),ROUND(E64*$F$9*D65/T64,2))))</f>
        <v>3048.16</v>
      </c>
      <c r="H65" s="20">
        <f ca="1">IF(A64=$D$8,SUM($H$29:H64),IF(A64&gt;$D$8,"",F65+G65))</f>
        <v>8048.16</v>
      </c>
      <c r="I65" s="20" t="str">
        <f t="shared" si="22"/>
        <v/>
      </c>
      <c r="J65" s="20" t="str">
        <f t="shared" si="23"/>
        <v/>
      </c>
      <c r="K65" s="20" t="str">
        <f t="shared" si="24"/>
        <v/>
      </c>
      <c r="L65" s="153" t="str">
        <f t="shared" si="25"/>
        <v/>
      </c>
      <c r="M65" s="20" t="str">
        <f t="shared" si="30"/>
        <v/>
      </c>
      <c r="N65" s="20" t="str">
        <f t="shared" si="18"/>
        <v/>
      </c>
      <c r="O65" s="20" t="str">
        <f t="shared" si="19"/>
        <v/>
      </c>
      <c r="P65" s="20"/>
      <c r="Q65" s="66" t="str">
        <f>IF(A64=$D$8,XIRR(H$28:H64,C$28:C64),"")</f>
        <v/>
      </c>
      <c r="R65" s="20" t="str">
        <f t="shared" si="6"/>
        <v/>
      </c>
      <c r="S65" s="14">
        <f t="shared" ca="1" si="7"/>
        <v>2024</v>
      </c>
      <c r="T65" s="14">
        <f t="shared" ca="1" si="8"/>
        <v>366</v>
      </c>
      <c r="U65" s="14">
        <f t="shared" ca="1" si="9"/>
        <v>12</v>
      </c>
      <c r="V65" s="15">
        <f t="shared" ca="1" si="10"/>
        <v>11</v>
      </c>
      <c r="W65" s="16">
        <f t="shared" ca="1" si="11"/>
        <v>20</v>
      </c>
      <c r="X65" s="14"/>
    </row>
    <row r="66" spans="1:24" x14ac:dyDescent="0.35">
      <c r="A66" s="23">
        <f t="shared" si="12"/>
        <v>38</v>
      </c>
      <c r="B66" s="19">
        <f ca="1">EDATE($B$28,38)</f>
        <v>45547</v>
      </c>
      <c r="C66" s="19">
        <f t="shared" ca="1" si="5"/>
        <v>45547</v>
      </c>
      <c r="D66" s="23">
        <f t="shared" ca="1" si="27"/>
        <v>31</v>
      </c>
      <c r="E66" s="20">
        <f t="shared" si="28"/>
        <v>110000</v>
      </c>
      <c r="F66" s="20">
        <f>IF(AND(A65="",A67=""),"",IF(A66="",ROUND(SUM($F$29:F65),2),IF(A66=$D$8,$E$28-ROUND(SUM($F$29:F65),2),ROUND($E$28/$D$8,2))))</f>
        <v>5000</v>
      </c>
      <c r="G66" s="20">
        <f ca="1">IF(A65=$D$8,ROUND(SUM($G$29:G65),2),IF(A66&gt;$F$8,"",IF(T66&lt;&gt;T65,ROUND(SUM(V66*$F$9*E65/T66,W66*$F$9*E65/T65),2),ROUND(E65*$F$9*D66/T65,2))))</f>
        <v>2921.16</v>
      </c>
      <c r="H66" s="20">
        <f ca="1">IF(A65=$D$8,SUM($H$29:H65),IF(A65&gt;$D$8,"",F66+G66))</f>
        <v>7921.16</v>
      </c>
      <c r="I66" s="20" t="str">
        <f t="shared" si="22"/>
        <v/>
      </c>
      <c r="J66" s="20" t="str">
        <f t="shared" si="23"/>
        <v/>
      </c>
      <c r="K66" s="20" t="str">
        <f t="shared" si="24"/>
        <v/>
      </c>
      <c r="L66" s="153" t="str">
        <f t="shared" si="25"/>
        <v/>
      </c>
      <c r="M66" s="20" t="str">
        <f t="shared" si="30"/>
        <v/>
      </c>
      <c r="N66" s="20" t="str">
        <f t="shared" si="18"/>
        <v/>
      </c>
      <c r="O66" s="20" t="str">
        <f t="shared" si="19"/>
        <v/>
      </c>
      <c r="P66" s="20"/>
      <c r="Q66" s="66" t="str">
        <f>IF(A65=$D$8,XIRR(H$28:H65,C$28:C65),"")</f>
        <v/>
      </c>
      <c r="R66" s="20" t="str">
        <f t="shared" si="6"/>
        <v/>
      </c>
      <c r="S66" s="14">
        <f t="shared" ca="1" si="7"/>
        <v>2024</v>
      </c>
      <c r="T66" s="14">
        <f t="shared" ca="1" si="8"/>
        <v>366</v>
      </c>
      <c r="U66" s="14">
        <f t="shared" ca="1" si="9"/>
        <v>12</v>
      </c>
      <c r="V66" s="15">
        <f t="shared" ca="1" si="10"/>
        <v>11</v>
      </c>
      <c r="W66" s="16">
        <f t="shared" ca="1" si="11"/>
        <v>20</v>
      </c>
      <c r="X66" s="14"/>
    </row>
    <row r="67" spans="1:24" x14ac:dyDescent="0.35">
      <c r="A67" s="23">
        <f t="shared" si="12"/>
        <v>39</v>
      </c>
      <c r="B67" s="19">
        <f ca="1">EDATE($B$28,39)</f>
        <v>45577</v>
      </c>
      <c r="C67" s="19">
        <f t="shared" ca="1" si="5"/>
        <v>45577</v>
      </c>
      <c r="D67" s="23">
        <f t="shared" ca="1" si="27"/>
        <v>30</v>
      </c>
      <c r="E67" s="20">
        <f t="shared" si="28"/>
        <v>105000</v>
      </c>
      <c r="F67" s="20">
        <f>IF(AND(A66="",A68=""),"",IF(A67="",ROUND(SUM($F$29:F66),2),IF(A67=$D$8,$E$28-ROUND(SUM($F$29:F66),2),ROUND($E$28/$D$8,2))))</f>
        <v>5000</v>
      </c>
      <c r="G67" s="20">
        <f ca="1">IF(A66=$D$8,ROUND(SUM($G$29:G66),2),IF(A67&gt;$F$8,"",IF(T67&lt;&gt;T66,ROUND(SUM(V67*$F$9*E66/T67,W67*$F$9*E66/T66),2),ROUND(E66*$F$9*D67/T66,2))))</f>
        <v>2704.02</v>
      </c>
      <c r="H67" s="20">
        <f ca="1">IF(A66=$D$8,SUM($H$29:H66),IF(A66&gt;$D$8,"",F67+G67))</f>
        <v>7704.02</v>
      </c>
      <c r="I67" s="20" t="str">
        <f t="shared" si="22"/>
        <v/>
      </c>
      <c r="J67" s="20" t="str">
        <f t="shared" si="23"/>
        <v/>
      </c>
      <c r="K67" s="20" t="str">
        <f t="shared" si="24"/>
        <v/>
      </c>
      <c r="L67" s="153" t="str">
        <f t="shared" si="25"/>
        <v/>
      </c>
      <c r="M67" s="20" t="str">
        <f t="shared" si="30"/>
        <v/>
      </c>
      <c r="N67" s="20" t="str">
        <f t="shared" si="18"/>
        <v/>
      </c>
      <c r="O67" s="20" t="str">
        <f t="shared" si="19"/>
        <v/>
      </c>
      <c r="P67" s="20"/>
      <c r="Q67" s="66" t="str">
        <f>IF(A66=$D$8,XIRR(H$28:H66,C$28:C66),"")</f>
        <v/>
      </c>
      <c r="R67" s="20" t="str">
        <f t="shared" si="6"/>
        <v/>
      </c>
      <c r="S67" s="14">
        <f t="shared" ca="1" si="7"/>
        <v>2024</v>
      </c>
      <c r="T67" s="14">
        <f t="shared" ca="1" si="8"/>
        <v>366</v>
      </c>
      <c r="U67" s="14">
        <f t="shared" ca="1" si="9"/>
        <v>12</v>
      </c>
      <c r="V67" s="15">
        <f t="shared" ca="1" si="10"/>
        <v>11</v>
      </c>
      <c r="W67" s="16">
        <f t="shared" ca="1" si="11"/>
        <v>19</v>
      </c>
      <c r="X67" s="14"/>
    </row>
    <row r="68" spans="1:24" x14ac:dyDescent="0.35">
      <c r="A68" s="23">
        <f t="shared" si="12"/>
        <v>40</v>
      </c>
      <c r="B68" s="19">
        <f ca="1">EDATE($B$28,40)</f>
        <v>45608</v>
      </c>
      <c r="C68" s="19">
        <f t="shared" ca="1" si="5"/>
        <v>45608</v>
      </c>
      <c r="D68" s="23">
        <f t="shared" ca="1" si="27"/>
        <v>31</v>
      </c>
      <c r="E68" s="20">
        <f t="shared" si="28"/>
        <v>100000</v>
      </c>
      <c r="F68" s="20">
        <f>IF(AND(A67="",A69=""),"",IF(A68="",ROUND(SUM($F$29:F67),2),IF(A68=$D$8,$E$28-ROUND(SUM($F$29:F67),2),ROUND($E$28/$D$8,2))))</f>
        <v>5000</v>
      </c>
      <c r="G68" s="20">
        <f ca="1">IF(A67=$D$8,ROUND(SUM($G$29:G67),2),IF(A68&gt;$F$8,"",IF(T68&lt;&gt;T67,ROUND(SUM(V68*$F$9*E67/T68,W68*$F$9*E67/T67),2),ROUND(E67*$F$9*D68/T67,2))))</f>
        <v>2667.14</v>
      </c>
      <c r="H68" s="20">
        <f ca="1">IF(A67=$D$8,SUM($H$29:H67),IF(A67&gt;$D$8,"",F68+G68))</f>
        <v>7667.1399999999994</v>
      </c>
      <c r="I68" s="20" t="str">
        <f t="shared" si="22"/>
        <v/>
      </c>
      <c r="J68" s="20" t="str">
        <f t="shared" si="23"/>
        <v/>
      </c>
      <c r="K68" s="20" t="str">
        <f t="shared" si="24"/>
        <v/>
      </c>
      <c r="L68" s="153" t="str">
        <f t="shared" si="25"/>
        <v/>
      </c>
      <c r="M68" s="20" t="str">
        <f t="shared" si="30"/>
        <v/>
      </c>
      <c r="N68" s="20" t="str">
        <f t="shared" si="18"/>
        <v/>
      </c>
      <c r="O68" s="20" t="str">
        <f t="shared" si="19"/>
        <v/>
      </c>
      <c r="P68" s="20"/>
      <c r="Q68" s="66" t="str">
        <f>IF(A67=$D$8,XIRR(H$28:H67,C$28:C67),"")</f>
        <v/>
      </c>
      <c r="R68" s="20" t="str">
        <f t="shared" si="6"/>
        <v/>
      </c>
      <c r="S68" s="14">
        <f t="shared" ca="1" si="7"/>
        <v>2024</v>
      </c>
      <c r="T68" s="14">
        <f t="shared" ca="1" si="8"/>
        <v>366</v>
      </c>
      <c r="U68" s="14">
        <f t="shared" ca="1" si="9"/>
        <v>12</v>
      </c>
      <c r="V68" s="15">
        <f t="shared" ca="1" si="10"/>
        <v>11</v>
      </c>
      <c r="W68" s="16">
        <f t="shared" ca="1" si="11"/>
        <v>20</v>
      </c>
      <c r="X68" s="14"/>
    </row>
    <row r="69" spans="1:24" x14ac:dyDescent="0.35">
      <c r="A69" s="23">
        <f t="shared" si="12"/>
        <v>41</v>
      </c>
      <c r="B69" s="19">
        <f ca="1">EDATE($B$28,41)</f>
        <v>45638</v>
      </c>
      <c r="C69" s="19">
        <f t="shared" ca="1" si="5"/>
        <v>45638</v>
      </c>
      <c r="D69" s="23">
        <f t="shared" ca="1" si="27"/>
        <v>30</v>
      </c>
      <c r="E69" s="20">
        <f t="shared" si="28"/>
        <v>95000</v>
      </c>
      <c r="F69" s="20">
        <f>IF(AND(A68="",A70=""),"",IF(A69="",ROUND(SUM($F$29:F68),2),IF(A69=$D$8,$E$28-ROUND(SUM($F$29:F68),2),ROUND($E$28/$D$8,2))))</f>
        <v>5000</v>
      </c>
      <c r="G69" s="20">
        <f ca="1">IF(A68=$D$8,ROUND(SUM($G$29:G68),2),IF(A69&gt;$F$8,"",IF(T69&lt;&gt;T68,ROUND(SUM(V69*$F$9*E68/T69,W69*$F$9*E68/T68),2),ROUND(E68*$F$9*D69/T68,2))))</f>
        <v>2458.1999999999998</v>
      </c>
      <c r="H69" s="20">
        <f ca="1">IF(A68=$D$8,SUM($H$29:H68),IF(A68&gt;$D$8,"",F69+G69))</f>
        <v>7458.2</v>
      </c>
      <c r="I69" s="20" t="str">
        <f t="shared" si="22"/>
        <v/>
      </c>
      <c r="J69" s="20" t="str">
        <f t="shared" si="23"/>
        <v/>
      </c>
      <c r="K69" s="20" t="str">
        <f t="shared" si="24"/>
        <v/>
      </c>
      <c r="L69" s="153" t="str">
        <f t="shared" si="25"/>
        <v/>
      </c>
      <c r="M69" s="20" t="str">
        <f t="shared" si="30"/>
        <v/>
      </c>
      <c r="N69" s="20" t="str">
        <f t="shared" si="18"/>
        <v/>
      </c>
      <c r="O69" s="20" t="str">
        <f t="shared" si="19"/>
        <v/>
      </c>
      <c r="P69" s="20"/>
      <c r="Q69" s="66" t="str">
        <f>IF(A68=$D$8,XIRR(H$28:H68,C$28:C68),"")</f>
        <v/>
      </c>
      <c r="R69" s="20" t="str">
        <f t="shared" si="6"/>
        <v/>
      </c>
      <c r="S69" s="14">
        <f t="shared" ca="1" si="7"/>
        <v>2024</v>
      </c>
      <c r="T69" s="14">
        <f t="shared" ca="1" si="8"/>
        <v>366</v>
      </c>
      <c r="U69" s="14">
        <f t="shared" ca="1" si="9"/>
        <v>12</v>
      </c>
      <c r="V69" s="15">
        <f t="shared" ca="1" si="10"/>
        <v>11</v>
      </c>
      <c r="W69" s="16">
        <f t="shared" ca="1" si="11"/>
        <v>19</v>
      </c>
      <c r="X69" s="14"/>
    </row>
    <row r="70" spans="1:24" x14ac:dyDescent="0.35">
      <c r="A70" s="23">
        <f t="shared" si="12"/>
        <v>42</v>
      </c>
      <c r="B70" s="19">
        <f ca="1">EDATE($B$28,42)</f>
        <v>45669</v>
      </c>
      <c r="C70" s="19">
        <f t="shared" ca="1" si="5"/>
        <v>45669</v>
      </c>
      <c r="D70" s="23">
        <f t="shared" ca="1" si="27"/>
        <v>31</v>
      </c>
      <c r="E70" s="20">
        <f t="shared" si="28"/>
        <v>90000</v>
      </c>
      <c r="F70" s="20">
        <f>IF(AND(A69="",A71=""),"",IF(A70="",ROUND(SUM($F$29:F69),2),IF(A70=$D$8,$E$28-ROUND(SUM($F$29:F69),2),ROUND($E$28/$D$8,2))))</f>
        <v>5000</v>
      </c>
      <c r="G70" s="20">
        <f ca="1">IF(A69=$D$8,ROUND(SUM($G$29:G69),2),IF(A70&gt;$F$8,"",IF(T70&lt;&gt;T69,ROUND(SUM(V70*$F$9*E69/T70,W70*$F$9*E69/T69),2),ROUND(E69*$F$9*D70/T69,2))))</f>
        <v>2415.48</v>
      </c>
      <c r="H70" s="20">
        <f ca="1">IF(A69=$D$8,SUM($H$29:H69),IF(A69&gt;$D$8,"",F70+G70))</f>
        <v>7415.48</v>
      </c>
      <c r="I70" s="20" t="str">
        <f t="shared" si="22"/>
        <v/>
      </c>
      <c r="J70" s="20" t="str">
        <f t="shared" si="23"/>
        <v/>
      </c>
      <c r="K70" s="20" t="str">
        <f t="shared" si="24"/>
        <v/>
      </c>
      <c r="L70" s="153" t="str">
        <f t="shared" si="25"/>
        <v/>
      </c>
      <c r="M70" s="20" t="str">
        <f t="shared" si="30"/>
        <v/>
      </c>
      <c r="N70" s="20" t="str">
        <f t="shared" si="18"/>
        <v/>
      </c>
      <c r="O70" s="20" t="str">
        <f t="shared" si="19"/>
        <v/>
      </c>
      <c r="P70" s="20"/>
      <c r="Q70" s="66" t="str">
        <f>IF(A69=$D$8,XIRR(H$28:H69,C$28:C69),"")</f>
        <v/>
      </c>
      <c r="R70" s="20" t="str">
        <f t="shared" si="6"/>
        <v/>
      </c>
      <c r="S70" s="14">
        <f t="shared" ca="1" si="7"/>
        <v>2025</v>
      </c>
      <c r="T70" s="14">
        <f t="shared" ca="1" si="8"/>
        <v>365</v>
      </c>
      <c r="U70" s="14">
        <f t="shared" ca="1" si="9"/>
        <v>12</v>
      </c>
      <c r="V70" s="15">
        <f t="shared" ca="1" si="10"/>
        <v>11</v>
      </c>
      <c r="W70" s="16">
        <f t="shared" ca="1" si="11"/>
        <v>20</v>
      </c>
      <c r="X70" s="14"/>
    </row>
    <row r="71" spans="1:24" x14ac:dyDescent="0.35">
      <c r="A71" s="23">
        <f t="shared" si="12"/>
        <v>43</v>
      </c>
      <c r="B71" s="19">
        <f ca="1">EDATE($B$28,43)</f>
        <v>45700</v>
      </c>
      <c r="C71" s="19">
        <f t="shared" ca="1" si="5"/>
        <v>45700</v>
      </c>
      <c r="D71" s="23">
        <f t="shared" ca="1" si="27"/>
        <v>31</v>
      </c>
      <c r="E71" s="20">
        <f t="shared" si="28"/>
        <v>85000</v>
      </c>
      <c r="F71" s="20">
        <f>IF(AND(A70="",A72=""),"",IF(A71="",ROUND(SUM($F$29:F70),2),IF(A71=$D$8,$E$28-ROUND(SUM($F$29:F70),2),ROUND($E$28/$D$8,2))))</f>
        <v>5000</v>
      </c>
      <c r="G71" s="20">
        <f ca="1">IF(A70=$D$8,ROUND(SUM($G$29:G70),2),IF(A71&gt;$F$8,"",IF(T71&lt;&gt;T70,ROUND(SUM(V71*$F$9*E70/T71,W71*$F$9*E70/T70),2),ROUND(E70*$F$9*D71/T70,2))))</f>
        <v>2292.39</v>
      </c>
      <c r="H71" s="20">
        <f ca="1">IF(A70=$D$8,SUM($H$29:H70),IF(A70&gt;$D$8,"",F71+G71))</f>
        <v>7292.3899999999994</v>
      </c>
      <c r="I71" s="20" t="str">
        <f t="shared" si="22"/>
        <v/>
      </c>
      <c r="J71" s="20" t="str">
        <f t="shared" si="23"/>
        <v/>
      </c>
      <c r="K71" s="20" t="str">
        <f t="shared" si="24"/>
        <v/>
      </c>
      <c r="L71" s="153" t="str">
        <f t="shared" si="25"/>
        <v/>
      </c>
      <c r="M71" s="20" t="str">
        <f t="shared" si="30"/>
        <v/>
      </c>
      <c r="N71" s="20" t="str">
        <f t="shared" si="18"/>
        <v/>
      </c>
      <c r="O71" s="20" t="str">
        <f t="shared" si="19"/>
        <v/>
      </c>
      <c r="P71" s="20"/>
      <c r="Q71" s="66" t="str">
        <f>IF(A70=$D$8,XIRR(H$28:H70,C$28:C70),"")</f>
        <v/>
      </c>
      <c r="R71" s="20" t="str">
        <f t="shared" si="6"/>
        <v/>
      </c>
      <c r="S71" s="14">
        <f t="shared" ca="1" si="7"/>
        <v>2025</v>
      </c>
      <c r="T71" s="14">
        <f t="shared" ca="1" si="8"/>
        <v>365</v>
      </c>
      <c r="U71" s="14">
        <f t="shared" ca="1" si="9"/>
        <v>12</v>
      </c>
      <c r="V71" s="15">
        <f t="shared" ca="1" si="10"/>
        <v>11</v>
      </c>
      <c r="W71" s="16">
        <f t="shared" ca="1" si="11"/>
        <v>20</v>
      </c>
      <c r="X71" s="14"/>
    </row>
    <row r="72" spans="1:24" x14ac:dyDescent="0.35">
      <c r="A72" s="23">
        <f t="shared" si="12"/>
        <v>44</v>
      </c>
      <c r="B72" s="19">
        <f ca="1">EDATE($B$28,44)</f>
        <v>45728</v>
      </c>
      <c r="C72" s="19">
        <f t="shared" ca="1" si="5"/>
        <v>45728</v>
      </c>
      <c r="D72" s="23">
        <f t="shared" ca="1" si="27"/>
        <v>28</v>
      </c>
      <c r="E72" s="20">
        <f t="shared" si="28"/>
        <v>80000</v>
      </c>
      <c r="F72" s="20">
        <f>IF(AND(A71="",A73=""),"",IF(A72="",ROUND(SUM($F$29:F71),2),IF(A72=$D$8,$E$28-ROUND(SUM($F$29:F71),2),ROUND($E$28/$D$8,2))))</f>
        <v>5000</v>
      </c>
      <c r="G72" s="20">
        <f ca="1">IF(A71=$D$8,ROUND(SUM($G$29:G71),2),IF(A72&gt;$F$8,"",IF(T72&lt;&gt;T71,ROUND(SUM(V72*$F$9*E71/T72,W72*$F$9*E71/T71),2),ROUND(E71*$F$9*D72/T71,2))))</f>
        <v>1955.51</v>
      </c>
      <c r="H72" s="20">
        <f ca="1">IF(A71=$D$8,SUM($H$29:H71),IF(A71&gt;$D$8,"",F72+G72))</f>
        <v>6955.51</v>
      </c>
      <c r="I72" s="20" t="str">
        <f t="shared" si="22"/>
        <v/>
      </c>
      <c r="J72" s="20" t="str">
        <f t="shared" si="23"/>
        <v/>
      </c>
      <c r="K72" s="20" t="str">
        <f t="shared" si="24"/>
        <v/>
      </c>
      <c r="L72" s="153" t="str">
        <f t="shared" si="25"/>
        <v/>
      </c>
      <c r="M72" s="20" t="str">
        <f t="shared" si="30"/>
        <v/>
      </c>
      <c r="N72" s="20" t="str">
        <f t="shared" si="18"/>
        <v/>
      </c>
      <c r="O72" s="20" t="str">
        <f t="shared" si="19"/>
        <v/>
      </c>
      <c r="P72" s="20"/>
      <c r="Q72" s="66" t="str">
        <f>IF(A71=$D$8,XIRR(H$28:H71,C$28:C71),"")</f>
        <v/>
      </c>
      <c r="R72" s="20" t="str">
        <f t="shared" si="6"/>
        <v/>
      </c>
      <c r="S72" s="14">
        <f t="shared" ca="1" si="7"/>
        <v>2025</v>
      </c>
      <c r="T72" s="14">
        <f t="shared" ca="1" si="8"/>
        <v>365</v>
      </c>
      <c r="U72" s="14">
        <f t="shared" ca="1" si="9"/>
        <v>12</v>
      </c>
      <c r="V72" s="15">
        <f t="shared" ca="1" si="10"/>
        <v>11</v>
      </c>
      <c r="W72" s="16">
        <f t="shared" ca="1" si="11"/>
        <v>17</v>
      </c>
      <c r="X72" s="14"/>
    </row>
    <row r="73" spans="1:24" x14ac:dyDescent="0.35">
      <c r="A73" s="23">
        <f t="shared" si="12"/>
        <v>45</v>
      </c>
      <c r="B73" s="19">
        <f ca="1">EDATE($B$28,45)</f>
        <v>45759</v>
      </c>
      <c r="C73" s="19">
        <f t="shared" ca="1" si="5"/>
        <v>45759</v>
      </c>
      <c r="D73" s="23">
        <f t="shared" ca="1" si="27"/>
        <v>31</v>
      </c>
      <c r="E73" s="20">
        <f t="shared" si="28"/>
        <v>75000</v>
      </c>
      <c r="F73" s="20">
        <f>IF(AND(A72="",A74=""),"",IF(A73="",ROUND(SUM($F$29:F72),2),IF(A73=$D$8,$E$28-ROUND(SUM($F$29:F72),2),ROUND($E$28/$D$8,2))))</f>
        <v>5000</v>
      </c>
      <c r="G73" s="20">
        <f ca="1">IF(A72=$D$8,ROUND(SUM($G$29:G72),2),IF(A73&gt;$F$8,"",IF(T73&lt;&gt;T72,ROUND(SUM(V73*$F$9*E72/T73,W73*$F$9*E72/T72),2),ROUND(E72*$F$9*D73/T72,2))))</f>
        <v>2037.68</v>
      </c>
      <c r="H73" s="20">
        <f ca="1">IF(A72=$D$8,SUM($H$29:H72),IF(A72&gt;$D$8,"",F73+G73))</f>
        <v>7037.68</v>
      </c>
      <c r="I73" s="20" t="str">
        <f t="shared" si="22"/>
        <v/>
      </c>
      <c r="J73" s="20" t="str">
        <f t="shared" si="23"/>
        <v/>
      </c>
      <c r="K73" s="20" t="str">
        <f t="shared" si="24"/>
        <v/>
      </c>
      <c r="L73" s="153" t="str">
        <f t="shared" si="25"/>
        <v/>
      </c>
      <c r="M73" s="20" t="str">
        <f t="shared" si="30"/>
        <v/>
      </c>
      <c r="N73" s="20" t="str">
        <f t="shared" si="18"/>
        <v/>
      </c>
      <c r="O73" s="20" t="str">
        <f t="shared" si="19"/>
        <v/>
      </c>
      <c r="P73" s="20"/>
      <c r="Q73" s="66" t="str">
        <f>IF(A72=$D$8,XIRR(H$28:H72,C$28:C72),"")</f>
        <v/>
      </c>
      <c r="R73" s="20" t="str">
        <f t="shared" si="6"/>
        <v/>
      </c>
      <c r="S73" s="14">
        <f t="shared" ca="1" si="7"/>
        <v>2025</v>
      </c>
      <c r="T73" s="14">
        <f t="shared" ca="1" si="8"/>
        <v>365</v>
      </c>
      <c r="U73" s="14">
        <f t="shared" ca="1" si="9"/>
        <v>12</v>
      </c>
      <c r="V73" s="15">
        <f t="shared" ca="1" si="10"/>
        <v>11</v>
      </c>
      <c r="W73" s="16">
        <f t="shared" ca="1" si="11"/>
        <v>20</v>
      </c>
      <c r="X73" s="14"/>
    </row>
    <row r="74" spans="1:24" x14ac:dyDescent="0.35">
      <c r="A74" s="23">
        <f t="shared" si="12"/>
        <v>46</v>
      </c>
      <c r="B74" s="19">
        <f ca="1">EDATE($B$28,46)</f>
        <v>45789</v>
      </c>
      <c r="C74" s="19">
        <f t="shared" ca="1" si="5"/>
        <v>45789</v>
      </c>
      <c r="D74" s="23">
        <f t="shared" ca="1" si="27"/>
        <v>30</v>
      </c>
      <c r="E74" s="20">
        <f t="shared" si="28"/>
        <v>70000</v>
      </c>
      <c r="F74" s="20">
        <f>IF(AND(A73="",A75=""),"",IF(A74="",ROUND(SUM($F$29:F73),2),IF(A74=$D$8,$E$28-ROUND(SUM($F$29:F73),2),ROUND($E$28/$D$8,2))))</f>
        <v>5000</v>
      </c>
      <c r="G74" s="20">
        <f ca="1">IF(A73=$D$8,ROUND(SUM($G$29:G73),2),IF(A74&gt;$F$8,"",IF(T74&lt;&gt;T73,ROUND(SUM(V74*$F$9*E73/T74,W74*$F$9*E73/T73),2),ROUND(E73*$F$9*D74/T73,2))))</f>
        <v>1848.7</v>
      </c>
      <c r="H74" s="20">
        <f ca="1">IF(A73=$D$8,SUM($H$29:H73),IF(A73&gt;$D$8,"",F74+G74))</f>
        <v>6848.7</v>
      </c>
      <c r="I74" s="20" t="str">
        <f t="shared" si="22"/>
        <v/>
      </c>
      <c r="J74" s="20" t="str">
        <f t="shared" si="23"/>
        <v/>
      </c>
      <c r="K74" s="20" t="str">
        <f t="shared" si="24"/>
        <v/>
      </c>
      <c r="L74" s="153" t="str">
        <f t="shared" si="25"/>
        <v/>
      </c>
      <c r="M74" s="20" t="str">
        <f t="shared" si="30"/>
        <v/>
      </c>
      <c r="N74" s="20" t="str">
        <f t="shared" si="18"/>
        <v/>
      </c>
      <c r="O74" s="20" t="str">
        <f t="shared" si="19"/>
        <v/>
      </c>
      <c r="P74" s="20"/>
      <c r="Q74" s="66" t="str">
        <f>IF(A73=$D$8,XIRR(H$28:H73,C$28:C73),"")</f>
        <v/>
      </c>
      <c r="R74" s="20" t="str">
        <f t="shared" si="6"/>
        <v/>
      </c>
      <c r="S74" s="14">
        <f t="shared" ca="1" si="7"/>
        <v>2025</v>
      </c>
      <c r="T74" s="14">
        <f t="shared" ca="1" si="8"/>
        <v>365</v>
      </c>
      <c r="U74" s="14">
        <f t="shared" ca="1" si="9"/>
        <v>12</v>
      </c>
      <c r="V74" s="15">
        <f t="shared" ca="1" si="10"/>
        <v>11</v>
      </c>
      <c r="W74" s="16">
        <f t="shared" ca="1" si="11"/>
        <v>19</v>
      </c>
      <c r="X74" s="14"/>
    </row>
    <row r="75" spans="1:24" x14ac:dyDescent="0.35">
      <c r="A75" s="23">
        <f t="shared" si="12"/>
        <v>47</v>
      </c>
      <c r="B75" s="19">
        <f ca="1">EDATE($B$28,47)</f>
        <v>45820</v>
      </c>
      <c r="C75" s="19">
        <f t="shared" ca="1" si="5"/>
        <v>45820</v>
      </c>
      <c r="D75" s="23">
        <f t="shared" ca="1" si="27"/>
        <v>31</v>
      </c>
      <c r="E75" s="20">
        <f t="shared" si="28"/>
        <v>65000</v>
      </c>
      <c r="F75" s="20">
        <f>IF(AND(A74="",A76=""),"",IF(A75="",ROUND(SUM($F$29:F74),2),IF(A75=$D$8,$E$28-ROUND(SUM($F$29:F74),2),ROUND($E$28/$D$8,2))))</f>
        <v>5000</v>
      </c>
      <c r="G75" s="20">
        <f ca="1">IF(A74=$D$8,ROUND(SUM($G$29:G74),2),IF(A75&gt;$F$8,"",IF(T75&lt;&gt;T74,ROUND(SUM(V75*$F$9*E74/T75,W75*$F$9*E74/T74),2),ROUND(E74*$F$9*D75/T74,2))))</f>
        <v>1782.97</v>
      </c>
      <c r="H75" s="20">
        <f ca="1">IF(A74=$D$8,SUM($H$29:H74),IF(A74&gt;$D$8,"",F75+G75))</f>
        <v>6782.97</v>
      </c>
      <c r="I75" s="20" t="str">
        <f t="shared" si="22"/>
        <v/>
      </c>
      <c r="J75" s="20" t="str">
        <f t="shared" si="23"/>
        <v/>
      </c>
      <c r="K75" s="20" t="str">
        <f t="shared" si="24"/>
        <v/>
      </c>
      <c r="L75" s="153" t="str">
        <f t="shared" si="25"/>
        <v/>
      </c>
      <c r="M75" s="20" t="str">
        <f t="shared" ref="M75:M106" si="31">IF(A74=$D$8,$M$28,"")</f>
        <v/>
      </c>
      <c r="N75" s="20" t="str">
        <f t="shared" si="18"/>
        <v/>
      </c>
      <c r="O75" s="20" t="str">
        <f t="shared" si="19"/>
        <v/>
      </c>
      <c r="P75" s="20"/>
      <c r="Q75" s="66" t="str">
        <f>IF(A74=$D$8,XIRR(H$28:H74,C$28:C74),"")</f>
        <v/>
      </c>
      <c r="R75" s="20" t="str">
        <f t="shared" si="6"/>
        <v/>
      </c>
      <c r="S75" s="14">
        <f t="shared" ca="1" si="7"/>
        <v>2025</v>
      </c>
      <c r="T75" s="14">
        <f t="shared" ca="1" si="8"/>
        <v>365</v>
      </c>
      <c r="U75" s="14">
        <f t="shared" ca="1" si="9"/>
        <v>12</v>
      </c>
      <c r="V75" s="15">
        <f t="shared" ca="1" si="10"/>
        <v>11</v>
      </c>
      <c r="W75" s="16">
        <f t="shared" ca="1" si="11"/>
        <v>20</v>
      </c>
      <c r="X75" s="14"/>
    </row>
    <row r="76" spans="1:24" x14ac:dyDescent="0.35">
      <c r="A76" s="23">
        <f t="shared" si="12"/>
        <v>48</v>
      </c>
      <c r="B76" s="19">
        <f ca="1">EDATE($B$28,48)</f>
        <v>45850</v>
      </c>
      <c r="C76" s="19">
        <f t="shared" ca="1" si="5"/>
        <v>45850</v>
      </c>
      <c r="D76" s="23">
        <f t="shared" ca="1" si="27"/>
        <v>30</v>
      </c>
      <c r="E76" s="20">
        <f t="shared" si="28"/>
        <v>60000</v>
      </c>
      <c r="F76" s="20">
        <f>IF(AND(A75="",A77=""),"",IF(A76="",ROUND(SUM($F$29:F75),2),IF(A76=$D$8,$E$28-ROUND(SUM($F$29:F75),2),ROUND($E$28/$D$8,2))))</f>
        <v>5000</v>
      </c>
      <c r="G76" s="20">
        <f ca="1">IF(A75=$D$8,ROUND(SUM($G$29:G75),2),IF(A76&gt;$F$8,"",IF(T76&lt;&gt;T75,ROUND(SUM(V76*$F$9*E75/T76,W76*$F$9*E75/T75),2),ROUND(E75*$F$9*D76/T75,2))))</f>
        <v>1602.21</v>
      </c>
      <c r="H76" s="20">
        <f ca="1">IF(A75=$D$8,SUM($H$29:H75),IF(A75&gt;$D$8,"",F76+G76))</f>
        <v>6602.21</v>
      </c>
      <c r="I76" s="20" t="str">
        <f t="shared" si="22"/>
        <v/>
      </c>
      <c r="J76" s="20" t="str">
        <f t="shared" si="23"/>
        <v/>
      </c>
      <c r="K76" s="20" t="str">
        <f t="shared" si="24"/>
        <v/>
      </c>
      <c r="L76" s="153" t="str">
        <f t="shared" si="25"/>
        <v/>
      </c>
      <c r="M76" s="20" t="str">
        <f t="shared" si="31"/>
        <v/>
      </c>
      <c r="N76" s="20" t="str">
        <f t="shared" si="18"/>
        <v/>
      </c>
      <c r="O76" s="20" t="str">
        <f t="shared" si="19"/>
        <v/>
      </c>
      <c r="P76" s="20"/>
      <c r="Q76" s="66" t="str">
        <f>IF(A75=$D$8,XIRR(H$28:H75,C$28:C75),"")</f>
        <v/>
      </c>
      <c r="R76" s="20" t="str">
        <f t="shared" si="6"/>
        <v/>
      </c>
      <c r="S76" s="14">
        <f t="shared" ca="1" si="7"/>
        <v>2025</v>
      </c>
      <c r="T76" s="14">
        <f t="shared" ca="1" si="8"/>
        <v>365</v>
      </c>
      <c r="U76" s="14">
        <f t="shared" ca="1" si="9"/>
        <v>12</v>
      </c>
      <c r="V76" s="15">
        <f t="shared" ca="1" si="10"/>
        <v>11</v>
      </c>
      <c r="W76" s="16">
        <f t="shared" ca="1" si="11"/>
        <v>19</v>
      </c>
      <c r="X76" s="14"/>
    </row>
    <row r="77" spans="1:24" x14ac:dyDescent="0.35">
      <c r="A77" s="23">
        <f t="shared" si="12"/>
        <v>49</v>
      </c>
      <c r="B77" s="19">
        <f ca="1">EDATE($B$28,49)</f>
        <v>45881</v>
      </c>
      <c r="C77" s="19">
        <f t="shared" ca="1" si="5"/>
        <v>45881</v>
      </c>
      <c r="D77" s="23">
        <f t="shared" ca="1" si="27"/>
        <v>31</v>
      </c>
      <c r="E77" s="20">
        <f t="shared" si="28"/>
        <v>55000</v>
      </c>
      <c r="F77" s="20">
        <f>IF(AND(A76="",A78=""),"",IF(A77="",ROUND(SUM($F$29:F76),2),IF(A77=$D$8,$E$28-ROUND(SUM($F$29:F76),2),ROUND($E$28/$D$8,2))))</f>
        <v>5000</v>
      </c>
      <c r="G77" s="20">
        <f ca="1">IF(A76=$D$8,ROUND(SUM($G$29:G76),2),IF(A77&gt;$F$8,"",IF(T77&lt;&gt;T76,ROUND(SUM(V77*$F$9*E76/T77,W77*$F$9*E76/T76),2),ROUND(E76*$F$9*D77/T76,2))))</f>
        <v>1528.26</v>
      </c>
      <c r="H77" s="20">
        <f ca="1">IF(A76=$D$8,SUM($H$29:H76),IF(A76&gt;$D$8,"",F77+G77))</f>
        <v>6528.26</v>
      </c>
      <c r="I77" s="20" t="str">
        <f t="shared" si="22"/>
        <v/>
      </c>
      <c r="J77" s="20" t="str">
        <f t="shared" si="23"/>
        <v/>
      </c>
      <c r="K77" s="20" t="str">
        <f t="shared" si="24"/>
        <v/>
      </c>
      <c r="L77" s="153" t="str">
        <f t="shared" si="25"/>
        <v/>
      </c>
      <c r="M77" s="20" t="str">
        <f t="shared" si="31"/>
        <v/>
      </c>
      <c r="N77" s="20" t="str">
        <f t="shared" si="18"/>
        <v/>
      </c>
      <c r="O77" s="20" t="str">
        <f t="shared" si="19"/>
        <v/>
      </c>
      <c r="P77" s="20"/>
      <c r="Q77" s="66" t="str">
        <f>IF(A76=$D$8,XIRR(H$28:H76,C$28:C76),"")</f>
        <v/>
      </c>
      <c r="R77" s="20" t="str">
        <f t="shared" si="6"/>
        <v/>
      </c>
      <c r="S77" s="14">
        <f t="shared" ca="1" si="7"/>
        <v>2025</v>
      </c>
      <c r="T77" s="14">
        <f t="shared" ca="1" si="8"/>
        <v>365</v>
      </c>
      <c r="U77" s="14">
        <f t="shared" ca="1" si="9"/>
        <v>12</v>
      </c>
      <c r="V77" s="15">
        <f t="shared" ca="1" si="10"/>
        <v>11</v>
      </c>
      <c r="W77" s="16">
        <f t="shared" ca="1" si="11"/>
        <v>20</v>
      </c>
      <c r="X77" s="14"/>
    </row>
    <row r="78" spans="1:24" x14ac:dyDescent="0.35">
      <c r="A78" s="23">
        <f t="shared" si="12"/>
        <v>50</v>
      </c>
      <c r="B78" s="19">
        <f ca="1">EDATE($B$28,50)</f>
        <v>45912</v>
      </c>
      <c r="C78" s="19">
        <f t="shared" ca="1" si="5"/>
        <v>45912</v>
      </c>
      <c r="D78" s="23">
        <f t="shared" ca="1" si="27"/>
        <v>31</v>
      </c>
      <c r="E78" s="20">
        <f t="shared" si="28"/>
        <v>50000</v>
      </c>
      <c r="F78" s="20">
        <f>IF(AND(A77="",A79=""),"",IF(A78="",ROUND(SUM($F$29:F77),2),IF(A78=$D$8,$E$28-ROUND(SUM($F$29:F77),2),ROUND($E$28/$D$8,2))))</f>
        <v>5000</v>
      </c>
      <c r="G78" s="20">
        <f ca="1">IF(A77=$D$8,ROUND(SUM($G$29:G77),2),IF(A78&gt;$F$8,"",IF(T78&lt;&gt;T77,ROUND(SUM(V78*$F$9*E77/T78,W78*$F$9*E77/T77),2),ROUND(E77*$F$9*D78/T77,2))))</f>
        <v>1400.9</v>
      </c>
      <c r="H78" s="20">
        <f ca="1">IF(A77=$D$8,SUM($H$29:H77),IF(A77&gt;$D$8,"",F78+G78))</f>
        <v>6400.9</v>
      </c>
      <c r="I78" s="20" t="str">
        <f t="shared" si="22"/>
        <v/>
      </c>
      <c r="J78" s="20" t="str">
        <f t="shared" si="23"/>
        <v/>
      </c>
      <c r="K78" s="20" t="str">
        <f t="shared" si="24"/>
        <v/>
      </c>
      <c r="L78" s="153" t="str">
        <f t="shared" si="25"/>
        <v/>
      </c>
      <c r="M78" s="20" t="str">
        <f t="shared" si="31"/>
        <v/>
      </c>
      <c r="N78" s="20" t="str">
        <f t="shared" si="18"/>
        <v/>
      </c>
      <c r="O78" s="20" t="str">
        <f t="shared" si="19"/>
        <v/>
      </c>
      <c r="P78" s="20"/>
      <c r="Q78" s="66" t="str">
        <f>IF(A77=$D$8,XIRR(H$28:H77,C$28:C77),"")</f>
        <v/>
      </c>
      <c r="R78" s="20" t="str">
        <f t="shared" si="6"/>
        <v/>
      </c>
      <c r="S78" s="14">
        <f t="shared" ca="1" si="7"/>
        <v>2025</v>
      </c>
      <c r="T78" s="14">
        <f t="shared" ca="1" si="8"/>
        <v>365</v>
      </c>
      <c r="U78" s="14">
        <f t="shared" ca="1" si="9"/>
        <v>12</v>
      </c>
      <c r="V78" s="15">
        <f t="shared" ca="1" si="10"/>
        <v>11</v>
      </c>
      <c r="W78" s="16">
        <f t="shared" ca="1" si="11"/>
        <v>20</v>
      </c>
      <c r="X78" s="14"/>
    </row>
    <row r="79" spans="1:24" x14ac:dyDescent="0.35">
      <c r="A79" s="23">
        <f t="shared" si="12"/>
        <v>51</v>
      </c>
      <c r="B79" s="19">
        <f ca="1">EDATE($B$28,51)</f>
        <v>45942</v>
      </c>
      <c r="C79" s="19">
        <f t="shared" ca="1" si="5"/>
        <v>45942</v>
      </c>
      <c r="D79" s="23">
        <f t="shared" ca="1" si="27"/>
        <v>30</v>
      </c>
      <c r="E79" s="20">
        <f t="shared" si="28"/>
        <v>45000</v>
      </c>
      <c r="F79" s="20">
        <f>IF(AND(A78="",A80=""),"",IF(A79="",ROUND(SUM($F$29:F78),2),IF(A79=$D$8,$E$28-ROUND(SUM($F$29:F78),2),ROUND($E$28/$D$8,2))))</f>
        <v>5000</v>
      </c>
      <c r="G79" s="20">
        <f ca="1">IF(A78=$D$8,ROUND(SUM($G$29:G78),2),IF(A79&gt;$F$8,"",IF(T79&lt;&gt;T78,ROUND(SUM(V79*$F$9*E78/T79,W79*$F$9*E78/T78),2),ROUND(E78*$F$9*D79/T78,2))))</f>
        <v>1232.47</v>
      </c>
      <c r="H79" s="20">
        <f ca="1">IF(A78=$D$8,SUM($H$29:H78),IF(A78&gt;$D$8,"",F79+G79))</f>
        <v>6232.47</v>
      </c>
      <c r="I79" s="20" t="str">
        <f t="shared" si="22"/>
        <v/>
      </c>
      <c r="J79" s="20" t="str">
        <f t="shared" si="23"/>
        <v/>
      </c>
      <c r="K79" s="20" t="str">
        <f t="shared" si="24"/>
        <v/>
      </c>
      <c r="L79" s="153" t="str">
        <f t="shared" si="25"/>
        <v/>
      </c>
      <c r="M79" s="20" t="str">
        <f t="shared" si="31"/>
        <v/>
      </c>
      <c r="N79" s="20" t="str">
        <f t="shared" si="18"/>
        <v/>
      </c>
      <c r="O79" s="20" t="str">
        <f t="shared" si="19"/>
        <v/>
      </c>
      <c r="P79" s="20"/>
      <c r="Q79" s="66" t="str">
        <f>IF(A78=$D$8,XIRR(H$28:H78,C$28:C78),"")</f>
        <v/>
      </c>
      <c r="R79" s="20" t="str">
        <f t="shared" si="6"/>
        <v/>
      </c>
      <c r="S79" s="14">
        <f t="shared" ca="1" si="7"/>
        <v>2025</v>
      </c>
      <c r="T79" s="14">
        <f t="shared" ca="1" si="8"/>
        <v>365</v>
      </c>
      <c r="U79" s="14">
        <f t="shared" ca="1" si="9"/>
        <v>12</v>
      </c>
      <c r="V79" s="15">
        <f t="shared" ca="1" si="10"/>
        <v>11</v>
      </c>
      <c r="W79" s="16">
        <f t="shared" ca="1" si="11"/>
        <v>19</v>
      </c>
      <c r="X79" s="14"/>
    </row>
    <row r="80" spans="1:24" x14ac:dyDescent="0.35">
      <c r="A80" s="23">
        <f t="shared" si="12"/>
        <v>52</v>
      </c>
      <c r="B80" s="19">
        <f ca="1">EDATE($B$28,52)</f>
        <v>45973</v>
      </c>
      <c r="C80" s="19">
        <f t="shared" ca="1" si="5"/>
        <v>45973</v>
      </c>
      <c r="D80" s="23">
        <f t="shared" ca="1" si="27"/>
        <v>31</v>
      </c>
      <c r="E80" s="20">
        <f t="shared" si="28"/>
        <v>40000</v>
      </c>
      <c r="F80" s="20">
        <f>IF(AND(A79="",A81=""),"",IF(A80="",ROUND(SUM($F$29:F79),2),IF(A80=$D$8,$E$28-ROUND(SUM($F$29:F79),2),ROUND($E$28/$D$8,2))))</f>
        <v>5000</v>
      </c>
      <c r="G80" s="20">
        <f ca="1">IF(A79=$D$8,ROUND(SUM($G$29:G79),2),IF(A80&gt;$F$8,"",IF(T80&lt;&gt;T79,ROUND(SUM(V80*$F$9*E79/T80,W80*$F$9*E79/T79),2),ROUND(E79*$F$9*D80/T79,2))))</f>
        <v>1146.19</v>
      </c>
      <c r="H80" s="20">
        <f ca="1">IF(A79=$D$8,SUM($H$29:H79),IF(A79&gt;$D$8,"",F80+G80))</f>
        <v>6146.1900000000005</v>
      </c>
      <c r="I80" s="20" t="str">
        <f t="shared" si="22"/>
        <v/>
      </c>
      <c r="J80" s="20" t="str">
        <f t="shared" si="23"/>
        <v/>
      </c>
      <c r="K80" s="20" t="str">
        <f t="shared" si="24"/>
        <v/>
      </c>
      <c r="L80" s="153" t="str">
        <f t="shared" si="25"/>
        <v/>
      </c>
      <c r="M80" s="20" t="str">
        <f t="shared" si="31"/>
        <v/>
      </c>
      <c r="N80" s="20" t="str">
        <f t="shared" si="18"/>
        <v/>
      </c>
      <c r="O80" s="20" t="str">
        <f t="shared" si="19"/>
        <v/>
      </c>
      <c r="P80" s="20"/>
      <c r="Q80" s="66" t="str">
        <f>IF(A79=$D$8,XIRR(H$28:H79,C$28:C79),"")</f>
        <v/>
      </c>
      <c r="R80" s="20" t="str">
        <f t="shared" si="6"/>
        <v/>
      </c>
      <c r="S80" s="14">
        <f t="shared" ca="1" si="7"/>
        <v>2025</v>
      </c>
      <c r="T80" s="14">
        <f t="shared" ca="1" si="8"/>
        <v>365</v>
      </c>
      <c r="U80" s="14">
        <f t="shared" ca="1" si="9"/>
        <v>12</v>
      </c>
      <c r="V80" s="15">
        <f t="shared" ca="1" si="10"/>
        <v>11</v>
      </c>
      <c r="W80" s="16">
        <f t="shared" ca="1" si="11"/>
        <v>20</v>
      </c>
      <c r="X80" s="14"/>
    </row>
    <row r="81" spans="1:24" x14ac:dyDescent="0.35">
      <c r="A81" s="23">
        <f t="shared" si="12"/>
        <v>53</v>
      </c>
      <c r="B81" s="19">
        <f ca="1">EDATE($B$28,53)</f>
        <v>46003</v>
      </c>
      <c r="C81" s="19">
        <f t="shared" ca="1" si="5"/>
        <v>46003</v>
      </c>
      <c r="D81" s="23">
        <f t="shared" ca="1" si="27"/>
        <v>30</v>
      </c>
      <c r="E81" s="20">
        <f t="shared" si="28"/>
        <v>35000</v>
      </c>
      <c r="F81" s="20">
        <f>IF(AND(A80="",A82=""),"",IF(A81="",ROUND(SUM($F$29:F80),2),IF(A81=$D$8,$E$28-ROUND(SUM($F$29:F80),2),ROUND($E$28/$D$8,2))))</f>
        <v>5000</v>
      </c>
      <c r="G81" s="20">
        <f ca="1">IF(A80=$D$8,ROUND(SUM($G$29:G80),2),IF(A81&gt;$F$8,"",IF(T81&lt;&gt;T80,ROUND(SUM(V81*$F$9*E80/T81,W81*$F$9*E80/T80),2),ROUND(E80*$F$9*D81/T80,2))))</f>
        <v>985.97</v>
      </c>
      <c r="H81" s="20">
        <f ca="1">IF(A80=$D$8,SUM($H$29:H80),IF(A80&gt;$D$8,"",F81+G81))</f>
        <v>5985.97</v>
      </c>
      <c r="I81" s="20" t="str">
        <f t="shared" si="22"/>
        <v/>
      </c>
      <c r="J81" s="20" t="str">
        <f t="shared" si="23"/>
        <v/>
      </c>
      <c r="K81" s="20" t="str">
        <f t="shared" si="24"/>
        <v/>
      </c>
      <c r="L81" s="153" t="str">
        <f t="shared" si="25"/>
        <v/>
      </c>
      <c r="M81" s="20" t="str">
        <f t="shared" si="31"/>
        <v/>
      </c>
      <c r="N81" s="20" t="str">
        <f t="shared" si="18"/>
        <v/>
      </c>
      <c r="O81" s="20" t="str">
        <f t="shared" si="19"/>
        <v/>
      </c>
      <c r="P81" s="20"/>
      <c r="Q81" s="66" t="str">
        <f>IF(A80=$D$8,XIRR(H$28:H80,C$28:C80),"")</f>
        <v/>
      </c>
      <c r="R81" s="20" t="str">
        <f t="shared" si="6"/>
        <v/>
      </c>
      <c r="S81" s="14">
        <f t="shared" ca="1" si="7"/>
        <v>2025</v>
      </c>
      <c r="T81" s="14">
        <f t="shared" ca="1" si="8"/>
        <v>365</v>
      </c>
      <c r="U81" s="14">
        <f t="shared" ca="1" si="9"/>
        <v>12</v>
      </c>
      <c r="V81" s="15">
        <f t="shared" ca="1" si="10"/>
        <v>11</v>
      </c>
      <c r="W81" s="16">
        <f t="shared" ca="1" si="11"/>
        <v>19</v>
      </c>
      <c r="X81" s="14"/>
    </row>
    <row r="82" spans="1:24" x14ac:dyDescent="0.35">
      <c r="A82" s="23">
        <f t="shared" si="12"/>
        <v>54</v>
      </c>
      <c r="B82" s="19">
        <f ca="1">EDATE($B$28,54)</f>
        <v>46034</v>
      </c>
      <c r="C82" s="19">
        <f t="shared" ca="1" si="5"/>
        <v>46034</v>
      </c>
      <c r="D82" s="23">
        <f t="shared" ca="1" si="27"/>
        <v>31</v>
      </c>
      <c r="E82" s="20">
        <f t="shared" si="28"/>
        <v>30000</v>
      </c>
      <c r="F82" s="20">
        <f>IF(AND(A81="",A83=""),"",IF(A82="",ROUND(SUM($F$29:F81),2),IF(A82=$D$8,$E$28-ROUND(SUM($F$29:F81),2),ROUND($E$28/$D$8,2))))</f>
        <v>5000</v>
      </c>
      <c r="G82" s="20">
        <f ca="1">IF(A81=$D$8,ROUND(SUM($G$29:G81),2),IF(A82&gt;$F$8,"",IF(T82&lt;&gt;T81,ROUND(SUM(V82*$F$9*E81/T82,W82*$F$9*E81/T81),2),ROUND(E81*$F$9*D82/T81,2))))</f>
        <v>891.48</v>
      </c>
      <c r="H82" s="20">
        <f ca="1">IF(A81=$D$8,SUM($H$29:H81),IF(A81&gt;$D$8,"",F82+G82))</f>
        <v>5891.48</v>
      </c>
      <c r="I82" s="20" t="str">
        <f t="shared" si="22"/>
        <v/>
      </c>
      <c r="J82" s="20" t="str">
        <f t="shared" si="23"/>
        <v/>
      </c>
      <c r="K82" s="20" t="str">
        <f t="shared" si="24"/>
        <v/>
      </c>
      <c r="L82" s="153" t="str">
        <f t="shared" si="25"/>
        <v/>
      </c>
      <c r="M82" s="20" t="str">
        <f t="shared" si="31"/>
        <v/>
      </c>
      <c r="N82" s="20" t="str">
        <f t="shared" si="18"/>
        <v/>
      </c>
      <c r="O82" s="20" t="str">
        <f t="shared" si="19"/>
        <v/>
      </c>
      <c r="P82" s="20"/>
      <c r="Q82" s="66" t="str">
        <f>IF(A81=$D$8,XIRR(H$28:H81,C$28:C81),"")</f>
        <v/>
      </c>
      <c r="R82" s="20" t="str">
        <f t="shared" si="6"/>
        <v/>
      </c>
      <c r="S82" s="14">
        <f t="shared" ca="1" si="7"/>
        <v>2026</v>
      </c>
      <c r="T82" s="14">
        <f t="shared" ca="1" si="8"/>
        <v>365</v>
      </c>
      <c r="U82" s="14">
        <f t="shared" ca="1" si="9"/>
        <v>12</v>
      </c>
      <c r="V82" s="15">
        <f t="shared" ca="1" si="10"/>
        <v>11</v>
      </c>
      <c r="W82" s="16">
        <f t="shared" ca="1" si="11"/>
        <v>20</v>
      </c>
      <c r="X82" s="14"/>
    </row>
    <row r="83" spans="1:24" x14ac:dyDescent="0.35">
      <c r="A83" s="23">
        <f t="shared" si="12"/>
        <v>55</v>
      </c>
      <c r="B83" s="19">
        <f ca="1">EDATE($B$28,55)</f>
        <v>46065</v>
      </c>
      <c r="C83" s="19">
        <f t="shared" ca="1" si="5"/>
        <v>46065</v>
      </c>
      <c r="D83" s="23">
        <f t="shared" ca="1" si="27"/>
        <v>31</v>
      </c>
      <c r="E83" s="20">
        <f t="shared" si="28"/>
        <v>25000</v>
      </c>
      <c r="F83" s="20">
        <f>IF(AND(A82="",A84=""),"",IF(A83="",ROUND(SUM($F$29:F82),2),IF(A83=$D$8,$E$28-ROUND(SUM($F$29:F82),2),ROUND($E$28/$D$8,2))))</f>
        <v>5000</v>
      </c>
      <c r="G83" s="20">
        <f ca="1">IF(A82=$D$8,ROUND(SUM($G$29:G82),2),IF(A83&gt;$F$8,"",IF(T83&lt;&gt;T82,ROUND(SUM(V83*$F$9*E82/T83,W83*$F$9*E82/T82),2),ROUND(E82*$F$9*D83/T82,2))))</f>
        <v>764.13</v>
      </c>
      <c r="H83" s="20">
        <f ca="1">IF(A82=$D$8,SUM($H$29:H82),IF(A82&gt;$D$8,"",F83+G83))</f>
        <v>5764.13</v>
      </c>
      <c r="I83" s="20" t="str">
        <f t="shared" si="22"/>
        <v/>
      </c>
      <c r="J83" s="20" t="str">
        <f t="shared" si="23"/>
        <v/>
      </c>
      <c r="K83" s="20" t="str">
        <f t="shared" si="24"/>
        <v/>
      </c>
      <c r="L83" s="153" t="str">
        <f t="shared" si="25"/>
        <v/>
      </c>
      <c r="M83" s="20" t="str">
        <f t="shared" si="31"/>
        <v/>
      </c>
      <c r="N83" s="20" t="str">
        <f t="shared" si="18"/>
        <v/>
      </c>
      <c r="O83" s="20" t="str">
        <f t="shared" si="19"/>
        <v/>
      </c>
      <c r="P83" s="20"/>
      <c r="Q83" s="66" t="str">
        <f>IF(A82=$D$8,XIRR(H$28:H82,C$28:C82),"")</f>
        <v/>
      </c>
      <c r="R83" s="20" t="str">
        <f t="shared" si="6"/>
        <v/>
      </c>
      <c r="S83" s="14">
        <f t="shared" ca="1" si="7"/>
        <v>2026</v>
      </c>
      <c r="T83" s="14">
        <f t="shared" ca="1" si="8"/>
        <v>365</v>
      </c>
      <c r="U83" s="14">
        <f t="shared" ca="1" si="9"/>
        <v>12</v>
      </c>
      <c r="V83" s="15">
        <f t="shared" ca="1" si="10"/>
        <v>11</v>
      </c>
      <c r="W83" s="16">
        <f t="shared" ca="1" si="11"/>
        <v>20</v>
      </c>
      <c r="X83" s="14"/>
    </row>
    <row r="84" spans="1:24" x14ac:dyDescent="0.35">
      <c r="A84" s="23">
        <f t="shared" si="12"/>
        <v>56</v>
      </c>
      <c r="B84" s="19">
        <f ca="1">EDATE($B$28,56)</f>
        <v>46093</v>
      </c>
      <c r="C84" s="19">
        <f t="shared" ca="1" si="5"/>
        <v>46093</v>
      </c>
      <c r="D84" s="23">
        <f t="shared" ca="1" si="27"/>
        <v>28</v>
      </c>
      <c r="E84" s="20">
        <f t="shared" si="28"/>
        <v>20000</v>
      </c>
      <c r="F84" s="20">
        <f>IF(AND(A83="",A85=""),"",IF(A84="",ROUND(SUM($F$29:F83),2),IF(A84=$D$8,$E$28-ROUND(SUM($F$29:F83),2),ROUND($E$28/$D$8,2))))</f>
        <v>5000</v>
      </c>
      <c r="G84" s="20">
        <f ca="1">IF(A83=$D$8,ROUND(SUM($G$29:G83),2),IF(A84&gt;$F$8,"",IF(T84&lt;&gt;T83,ROUND(SUM(V84*$F$9*E83/T84,W84*$F$9*E83/T83),2),ROUND(E83*$F$9*D84/T83,2))))</f>
        <v>575.15</v>
      </c>
      <c r="H84" s="20">
        <f ca="1">IF(A83=$D$8,SUM($H$29:H83),IF(A83&gt;$D$8,"",F84+G84))</f>
        <v>5575.15</v>
      </c>
      <c r="I84" s="20" t="str">
        <f t="shared" si="22"/>
        <v/>
      </c>
      <c r="J84" s="20" t="str">
        <f t="shared" si="23"/>
        <v/>
      </c>
      <c r="K84" s="20" t="str">
        <f t="shared" si="24"/>
        <v/>
      </c>
      <c r="L84" s="153" t="str">
        <f t="shared" si="25"/>
        <v/>
      </c>
      <c r="M84" s="20" t="str">
        <f t="shared" si="31"/>
        <v/>
      </c>
      <c r="N84" s="20" t="str">
        <f t="shared" si="18"/>
        <v/>
      </c>
      <c r="O84" s="20" t="str">
        <f t="shared" si="19"/>
        <v/>
      </c>
      <c r="P84" s="20"/>
      <c r="Q84" s="66" t="str">
        <f>IF(A83=$D$8,XIRR(H$28:H83,C$28:C83),"")</f>
        <v/>
      </c>
      <c r="R84" s="20" t="str">
        <f t="shared" si="6"/>
        <v/>
      </c>
      <c r="S84" s="14">
        <f t="shared" ca="1" si="7"/>
        <v>2026</v>
      </c>
      <c r="T84" s="14">
        <f t="shared" ca="1" si="8"/>
        <v>365</v>
      </c>
      <c r="U84" s="14">
        <f t="shared" ca="1" si="9"/>
        <v>12</v>
      </c>
      <c r="V84" s="15">
        <f t="shared" ca="1" si="10"/>
        <v>11</v>
      </c>
      <c r="W84" s="16">
        <f t="shared" ca="1" si="11"/>
        <v>17</v>
      </c>
      <c r="X84" s="14"/>
    </row>
    <row r="85" spans="1:24" x14ac:dyDescent="0.35">
      <c r="A85" s="23">
        <f t="shared" si="12"/>
        <v>57</v>
      </c>
      <c r="B85" s="19">
        <f ca="1">EDATE($B$28,57)</f>
        <v>46124</v>
      </c>
      <c r="C85" s="19">
        <f t="shared" ca="1" si="5"/>
        <v>46124</v>
      </c>
      <c r="D85" s="23">
        <f t="shared" ca="1" si="27"/>
        <v>31</v>
      </c>
      <c r="E85" s="20">
        <f t="shared" si="28"/>
        <v>15000</v>
      </c>
      <c r="F85" s="20">
        <f>IF(AND(A84="",A86=""),"",IF(A85="",ROUND(SUM($F$29:F84),2),IF(A85=$D$8,$E$28-ROUND(SUM($F$29:F84),2),ROUND($E$28/$D$8,2))))</f>
        <v>5000</v>
      </c>
      <c r="G85" s="20">
        <f ca="1">IF(A84=$D$8,ROUND(SUM($G$29:G84),2),IF(A85&gt;$F$8,"",IF(T85&lt;&gt;T84,ROUND(SUM(V85*$F$9*E84/T85,W85*$F$9*E84/T84),2),ROUND(E84*$F$9*D85/T84,2))))</f>
        <v>509.42</v>
      </c>
      <c r="H85" s="20">
        <f ca="1">IF(A84=$D$8,SUM($H$29:H84),IF(A84&gt;$D$8,"",F85+G85))</f>
        <v>5509.42</v>
      </c>
      <c r="I85" s="20" t="str">
        <f t="shared" si="22"/>
        <v/>
      </c>
      <c r="J85" s="20" t="str">
        <f t="shared" si="23"/>
        <v/>
      </c>
      <c r="K85" s="20" t="str">
        <f t="shared" si="24"/>
        <v/>
      </c>
      <c r="L85" s="153" t="str">
        <f t="shared" si="25"/>
        <v/>
      </c>
      <c r="M85" s="20" t="str">
        <f t="shared" si="31"/>
        <v/>
      </c>
      <c r="N85" s="20" t="str">
        <f t="shared" si="18"/>
        <v/>
      </c>
      <c r="O85" s="20" t="str">
        <f t="shared" si="19"/>
        <v/>
      </c>
      <c r="P85" s="20"/>
      <c r="Q85" s="66" t="str">
        <f>IF(A84=$D$8,XIRR(H$28:H84,C$28:C84),"")</f>
        <v/>
      </c>
      <c r="R85" s="20" t="str">
        <f t="shared" si="6"/>
        <v/>
      </c>
      <c r="S85" s="14">
        <f t="shared" ca="1" si="7"/>
        <v>2026</v>
      </c>
      <c r="T85" s="14">
        <f t="shared" ca="1" si="8"/>
        <v>365</v>
      </c>
      <c r="U85" s="14">
        <f t="shared" ca="1" si="9"/>
        <v>12</v>
      </c>
      <c r="V85" s="15">
        <f t="shared" ca="1" si="10"/>
        <v>11</v>
      </c>
      <c r="W85" s="16">
        <f t="shared" ca="1" si="11"/>
        <v>20</v>
      </c>
      <c r="X85" s="14"/>
    </row>
    <row r="86" spans="1:24" x14ac:dyDescent="0.35">
      <c r="A86" s="23">
        <f t="shared" si="12"/>
        <v>58</v>
      </c>
      <c r="B86" s="19">
        <f ca="1">EDATE($B$28,58)</f>
        <v>46154</v>
      </c>
      <c r="C86" s="19">
        <f t="shared" ca="1" si="5"/>
        <v>46154</v>
      </c>
      <c r="D86" s="23">
        <f t="shared" ca="1" si="27"/>
        <v>30</v>
      </c>
      <c r="E86" s="20">
        <f t="shared" si="28"/>
        <v>10000</v>
      </c>
      <c r="F86" s="20">
        <f>IF(AND(A85="",A87=""),"",IF(A86="",ROUND(SUM($F$29:F85),2),IF(A86=$D$8,$E$28-ROUND(SUM($F$29:F85),2),ROUND($E$28/$D$8,2))))</f>
        <v>5000</v>
      </c>
      <c r="G86" s="20">
        <f ca="1">IF(A85=$D$8,ROUND(SUM($G$29:G85),2),IF(A86&gt;$F$8,"",IF(T86&lt;&gt;T85,ROUND(SUM(V86*$F$9*E85/T86,W86*$F$9*E85/T85),2),ROUND(E85*$F$9*D86/T85,2))))</f>
        <v>369.74</v>
      </c>
      <c r="H86" s="20">
        <f ca="1">IF(A85=$D$8,SUM($H$29:H85),IF(A85&gt;$D$8,"",F86+G86))</f>
        <v>5369.74</v>
      </c>
      <c r="I86" s="20" t="str">
        <f t="shared" si="22"/>
        <v/>
      </c>
      <c r="J86" s="20" t="str">
        <f t="shared" si="23"/>
        <v/>
      </c>
      <c r="K86" s="20" t="str">
        <f t="shared" si="24"/>
        <v/>
      </c>
      <c r="L86" s="153" t="str">
        <f t="shared" si="25"/>
        <v/>
      </c>
      <c r="M86" s="20" t="str">
        <f t="shared" si="31"/>
        <v/>
      </c>
      <c r="N86" s="20" t="str">
        <f t="shared" si="18"/>
        <v/>
      </c>
      <c r="O86" s="20" t="str">
        <f t="shared" si="19"/>
        <v/>
      </c>
      <c r="P86" s="20"/>
      <c r="Q86" s="66" t="str">
        <f>IF(A85=$D$8,XIRR(H$28:H85,C$28:C85),"")</f>
        <v/>
      </c>
      <c r="R86" s="20" t="str">
        <f t="shared" si="6"/>
        <v/>
      </c>
      <c r="S86" s="14">
        <f t="shared" ca="1" si="7"/>
        <v>2026</v>
      </c>
      <c r="T86" s="14">
        <f t="shared" ca="1" si="8"/>
        <v>365</v>
      </c>
      <c r="U86" s="14">
        <f t="shared" ca="1" si="9"/>
        <v>12</v>
      </c>
      <c r="V86" s="15">
        <f t="shared" ca="1" si="10"/>
        <v>11</v>
      </c>
      <c r="W86" s="16">
        <f t="shared" ca="1" si="11"/>
        <v>19</v>
      </c>
      <c r="X86" s="14"/>
    </row>
    <row r="87" spans="1:24" x14ac:dyDescent="0.35">
      <c r="A87" s="23">
        <f t="shared" si="12"/>
        <v>59</v>
      </c>
      <c r="B87" s="19">
        <f ca="1">EDATE($B$28,59)</f>
        <v>46185</v>
      </c>
      <c r="C87" s="19">
        <f t="shared" ca="1" si="5"/>
        <v>46185</v>
      </c>
      <c r="D87" s="23">
        <f t="shared" ca="1" si="27"/>
        <v>31</v>
      </c>
      <c r="E87" s="20">
        <f t="shared" si="28"/>
        <v>5000</v>
      </c>
      <c r="F87" s="20">
        <f>IF(AND(A86="",A88=""),"",IF(A87="",ROUND(SUM($F$29:F86),2),IF(A87=$D$8,$E$28-ROUND(SUM($F$29:F86),2),ROUND($E$28/$D$8,2))))</f>
        <v>5000</v>
      </c>
      <c r="G87" s="20">
        <f ca="1">IF(A86=$D$8,ROUND(SUM($G$29:G86),2),IF(A87&gt;$F$8,"",IF(T87&lt;&gt;T86,ROUND(SUM(V87*$F$9*E86/T87,W87*$F$9*E86/T86),2),ROUND(E86*$F$9*D87/T86,2))))</f>
        <v>254.71</v>
      </c>
      <c r="H87" s="20">
        <f ca="1">IF(A86=$D$8,SUM($H$29:H86),IF(A86&gt;$D$8,"",F87+G87))</f>
        <v>5254.71</v>
      </c>
      <c r="I87" s="20" t="str">
        <f t="shared" si="22"/>
        <v/>
      </c>
      <c r="J87" s="20" t="str">
        <f t="shared" si="23"/>
        <v/>
      </c>
      <c r="K87" s="20" t="str">
        <f t="shared" si="24"/>
        <v/>
      </c>
      <c r="L87" s="153" t="str">
        <f t="shared" si="25"/>
        <v/>
      </c>
      <c r="M87" s="20" t="str">
        <f t="shared" si="31"/>
        <v/>
      </c>
      <c r="N87" s="20" t="str">
        <f t="shared" si="18"/>
        <v/>
      </c>
      <c r="O87" s="20" t="str">
        <f t="shared" si="19"/>
        <v/>
      </c>
      <c r="P87" s="20"/>
      <c r="Q87" s="66" t="str">
        <f>IF(A86=$D$8,XIRR(H$28:H86,C$28:C86),"")</f>
        <v/>
      </c>
      <c r="R87" s="20" t="str">
        <f t="shared" si="6"/>
        <v/>
      </c>
      <c r="S87" s="14">
        <f t="shared" ca="1" si="7"/>
        <v>2026</v>
      </c>
      <c r="T87" s="14">
        <f t="shared" ca="1" si="8"/>
        <v>365</v>
      </c>
      <c r="U87" s="14">
        <f t="shared" ca="1" si="9"/>
        <v>12</v>
      </c>
      <c r="V87" s="15">
        <f t="shared" ca="1" si="10"/>
        <v>11</v>
      </c>
      <c r="W87" s="16">
        <f t="shared" ca="1" si="11"/>
        <v>20</v>
      </c>
      <c r="X87" s="14"/>
    </row>
    <row r="88" spans="1:24" x14ac:dyDescent="0.35">
      <c r="A88" s="23">
        <f t="shared" si="12"/>
        <v>60</v>
      </c>
      <c r="B88" s="19">
        <f ca="1">EDATE($B$28,60)</f>
        <v>46215</v>
      </c>
      <c r="C88" s="19">
        <f t="shared" ca="1" si="5"/>
        <v>46214</v>
      </c>
      <c r="D88" s="23">
        <f t="shared" ca="1" si="27"/>
        <v>29</v>
      </c>
      <c r="E88" s="20">
        <f t="shared" si="28"/>
        <v>0</v>
      </c>
      <c r="F88" s="20">
        <f>IF(AND(A87="",A89=""),"",IF(A88="",ROUND(SUM($F$29:F87),2),IF(A88=$D$8,$E$28-ROUND(SUM($F$29:F87),2),ROUND($E$28/$D$8,2))))</f>
        <v>5000</v>
      </c>
      <c r="G88" s="20">
        <f ca="1">IF(A87=$D$8,ROUND(SUM($G$29:G87),2),IF(A88&gt;$F$8,"",IF(T88&lt;&gt;T87,ROUND(SUM(V88*$F$9*E87/T88,W88*$F$9*E87/T87),2),ROUND(E87*$F$9*D88/T87,2))))</f>
        <v>119.14</v>
      </c>
      <c r="H88" s="20">
        <f ca="1">IF(A87=$D$8,SUM($H$29:H87),IF(A87&gt;$D$8,"",F88+G88))</f>
        <v>5119.1400000000003</v>
      </c>
      <c r="I88" s="20" t="str">
        <f t="shared" si="22"/>
        <v/>
      </c>
      <c r="J88" s="20" t="str">
        <f t="shared" si="23"/>
        <v/>
      </c>
      <c r="K88" s="20" t="str">
        <f t="shared" si="24"/>
        <v/>
      </c>
      <c r="L88" s="153" t="str">
        <f t="shared" si="25"/>
        <v/>
      </c>
      <c r="M88" s="20" t="str">
        <f t="shared" si="31"/>
        <v/>
      </c>
      <c r="N88" s="20" t="str">
        <f t="shared" si="18"/>
        <v/>
      </c>
      <c r="O88" s="20" t="str">
        <f t="shared" si="19"/>
        <v/>
      </c>
      <c r="P88" s="20"/>
      <c r="Q88" s="66" t="str">
        <f>IF(A87=$D$8,XIRR(H$28:H87,C$28:C87),"")</f>
        <v/>
      </c>
      <c r="R88" s="20" t="str">
        <f t="shared" si="6"/>
        <v/>
      </c>
      <c r="S88" s="14">
        <f t="shared" ca="1" si="7"/>
        <v>2026</v>
      </c>
      <c r="T88" s="14">
        <f t="shared" ca="1" si="8"/>
        <v>365</v>
      </c>
      <c r="U88" s="14">
        <f t="shared" ca="1" si="9"/>
        <v>11</v>
      </c>
      <c r="V88" s="15">
        <f t="shared" ca="1" si="10"/>
        <v>10</v>
      </c>
      <c r="W88" s="16">
        <f t="shared" ca="1" si="11"/>
        <v>19</v>
      </c>
      <c r="X88" s="14"/>
    </row>
    <row r="89" spans="1:24" x14ac:dyDescent="0.35">
      <c r="A89" s="23" t="str">
        <f t="shared" si="12"/>
        <v/>
      </c>
      <c r="B89" s="19">
        <f ca="1">EDATE($B$28,61)</f>
        <v>46246</v>
      </c>
      <c r="C89" s="19" t="str">
        <f t="shared" ca="1" si="5"/>
        <v xml:space="preserve"> </v>
      </c>
      <c r="D89" s="23" t="str">
        <f t="shared" si="27"/>
        <v/>
      </c>
      <c r="E89" s="20" t="str">
        <f t="shared" si="28"/>
        <v/>
      </c>
      <c r="F89" s="20">
        <f>IF(AND(A88="",A90=""),"",IF(A89="",ROUND(SUM($F$29:F88),2),IF(A89=$D$8,$E$28-ROUND(SUM($F$29:F88),2),ROUND($E$28/$D$8,2))))</f>
        <v>300000</v>
      </c>
      <c r="G89" s="20">
        <f ca="1">IF(A88=$D$8,SUM($G$29:G88),IF(A89&gt;$F$8,"",IF(T89&lt;&gt;T88,SUM(V89*$F$24*E88/T89,W89*$F$24*E88/T88),E88*$F$24*D89/T88)))</f>
        <v>228861.33000000013</v>
      </c>
      <c r="H89" s="20">
        <f ca="1">IF(A88=$D$8,SUM($H$29:H88),IF(A88&gt;$D$8,"",F89+G89))</f>
        <v>528861.33000000007</v>
      </c>
      <c r="I89" s="20">
        <f t="shared" si="22"/>
        <v>0</v>
      </c>
      <c r="J89" s="20">
        <f t="shared" si="23"/>
        <v>0</v>
      </c>
      <c r="K89" s="20">
        <f t="shared" si="24"/>
        <v>0</v>
      </c>
      <c r="L89" s="153">
        <f t="shared" si="25"/>
        <v>0</v>
      </c>
      <c r="M89" s="20">
        <f t="shared" si="31"/>
        <v>6000</v>
      </c>
      <c r="N89" s="20">
        <f t="shared" si="18"/>
        <v>1200</v>
      </c>
      <c r="O89" s="20">
        <f t="shared" si="19"/>
        <v>0</v>
      </c>
      <c r="P89" s="20"/>
      <c r="Q89" s="66">
        <f ca="1">IF(A88=$D$8,XIRR(H$28:H88,C$28:C88),"")</f>
        <v>0.36461604237556455</v>
      </c>
      <c r="R89" s="20">
        <f ca="1">IF(A88=$D$8,G89+M89+F89+I89+J89+K89+L89+N89+O89,"")</f>
        <v>536061.33000000007</v>
      </c>
      <c r="S89" s="14" t="e">
        <f t="shared" ca="1" si="7"/>
        <v>#VALUE!</v>
      </c>
      <c r="T89" s="14" t="e">
        <f t="shared" ca="1" si="8"/>
        <v>#VALUE!</v>
      </c>
      <c r="U89" s="14" t="e">
        <f t="shared" ref="U89:U112" ca="1" si="32">IF(C89="","",DAY(C89))</f>
        <v>#VALUE!</v>
      </c>
      <c r="V89" s="15" t="e">
        <f t="shared" ref="V89:V112" ca="1" si="33">U89-1</f>
        <v>#VALUE!</v>
      </c>
      <c r="W89" s="16" t="e">
        <f t="shared" ref="W89:W112" ca="1" si="34">D89-V89</f>
        <v>#VALUE!</v>
      </c>
      <c r="X89" s="14"/>
    </row>
    <row r="90" spans="1:24" x14ac:dyDescent="0.35">
      <c r="A90" s="23" t="str">
        <f t="shared" si="12"/>
        <v/>
      </c>
      <c r="B90" s="19">
        <f ca="1">EDATE($B$28,62)</f>
        <v>46277</v>
      </c>
      <c r="C90" s="19" t="str">
        <f t="shared" ca="1" si="5"/>
        <v xml:space="preserve"> </v>
      </c>
      <c r="D90" s="23" t="str">
        <f t="shared" si="27"/>
        <v/>
      </c>
      <c r="E90" s="20" t="str">
        <f t="shared" si="28"/>
        <v/>
      </c>
      <c r="F90" s="20" t="str">
        <f>IF(AND(A89="",A91=""),"",IF(A90="",ROUND(SUM($F$29:F89),2),IF(A90=$D$8,$E$28-ROUND(SUM($F$29:F89),2),ROUND($E$28/$D$8,2))))</f>
        <v/>
      </c>
      <c r="G90" s="20" t="str">
        <f>IF(A89=$D$8,SUM($G$29:G89),IF(A90&gt;$F$8,"",IF(T90&lt;&gt;T89,SUM(V90*$F$24*E89/T90,W90*$F$24*E89/T89),E89*$F$24*D90/T89)))</f>
        <v/>
      </c>
      <c r="H90" s="20" t="str">
        <f>IF(A89=$D$8,SUM($H$29:H89),IF(A89&gt;$D$8,"",F90+G90))</f>
        <v/>
      </c>
      <c r="I90" s="20"/>
      <c r="J90" s="20"/>
      <c r="K90" s="20"/>
      <c r="L90" s="20"/>
      <c r="M90" s="20" t="str">
        <f t="shared" si="31"/>
        <v/>
      </c>
      <c r="N90" s="20"/>
      <c r="O90" s="20"/>
      <c r="P90" s="20"/>
      <c r="Q90" s="66" t="str">
        <f>IF(A89=$D$8,XIRR(H$28:H89,C$28:C89),"")</f>
        <v/>
      </c>
      <c r="R90" s="20" t="str">
        <f t="shared" ref="R90:R93" si="35">IF(A89=$D$8,G90+M90+F90,"")</f>
        <v/>
      </c>
      <c r="S90" s="14" t="e">
        <f t="shared" ca="1" si="7"/>
        <v>#VALUE!</v>
      </c>
      <c r="T90" s="14" t="e">
        <f t="shared" ca="1" si="8"/>
        <v>#VALUE!</v>
      </c>
      <c r="U90" s="14" t="e">
        <f t="shared" ca="1" si="32"/>
        <v>#VALUE!</v>
      </c>
      <c r="V90" s="15" t="e">
        <f t="shared" ca="1" si="33"/>
        <v>#VALUE!</v>
      </c>
      <c r="W90" s="16" t="e">
        <f t="shared" ca="1" si="34"/>
        <v>#VALUE!</v>
      </c>
      <c r="X90" s="14"/>
    </row>
    <row r="91" spans="1:24" x14ac:dyDescent="0.35">
      <c r="A91" s="23" t="str">
        <f t="shared" si="12"/>
        <v/>
      </c>
      <c r="B91" s="19">
        <f ca="1">EDATE($B$28,63)</f>
        <v>46307</v>
      </c>
      <c r="C91" s="19" t="str">
        <f t="shared" ca="1" si="5"/>
        <v xml:space="preserve"> </v>
      </c>
      <c r="D91" s="23" t="str">
        <f t="shared" si="27"/>
        <v/>
      </c>
      <c r="E91" s="20" t="str">
        <f t="shared" si="28"/>
        <v/>
      </c>
      <c r="F91" s="20" t="str">
        <f>IF(AND(A90="",A92=""),"",IF(A91="",ROUND(SUM($F$29:F90),2),IF(A91=$D$8,$E$28-ROUND(SUM($F$29:F90),2),ROUND($E$28/$D$8,2))))</f>
        <v/>
      </c>
      <c r="G91" s="20" t="str">
        <f>IF(A90=$D$8,SUM($G$29:G90),IF(A91&gt;$F$8,"",IF(T91&lt;&gt;T90,SUM(V91*$F$24*E90/T91,W91*$F$24*E90/T90),E90*$F$24*D91/T90)))</f>
        <v/>
      </c>
      <c r="H91" s="20" t="str">
        <f>IF(A90=$D$8,SUM($H$29:H90),IF(A90&gt;$D$8,"",F91+G91))</f>
        <v/>
      </c>
      <c r="I91" s="20"/>
      <c r="J91" s="20"/>
      <c r="K91" s="20"/>
      <c r="L91" s="20"/>
      <c r="M91" s="20" t="str">
        <f t="shared" si="31"/>
        <v/>
      </c>
      <c r="N91" s="20"/>
      <c r="O91" s="20"/>
      <c r="P91" s="20"/>
      <c r="Q91" s="66" t="str">
        <f>IF(A90=$D$8,XIRR(H$28:H90,C$28:C90),"")</f>
        <v/>
      </c>
      <c r="R91" s="20" t="str">
        <f t="shared" si="35"/>
        <v/>
      </c>
      <c r="S91" s="14" t="e">
        <f t="shared" ca="1" si="7"/>
        <v>#VALUE!</v>
      </c>
      <c r="T91" s="14" t="e">
        <f t="shared" ca="1" si="8"/>
        <v>#VALUE!</v>
      </c>
      <c r="U91" s="14" t="e">
        <f t="shared" ca="1" si="32"/>
        <v>#VALUE!</v>
      </c>
      <c r="V91" s="15" t="e">
        <f t="shared" ca="1" si="33"/>
        <v>#VALUE!</v>
      </c>
      <c r="W91" s="16" t="e">
        <f t="shared" ca="1" si="34"/>
        <v>#VALUE!</v>
      </c>
      <c r="X91" s="14"/>
    </row>
    <row r="92" spans="1:24" x14ac:dyDescent="0.35">
      <c r="A92" s="23" t="str">
        <f t="shared" si="12"/>
        <v/>
      </c>
      <c r="B92" s="19">
        <f ca="1">EDATE($B$28,64)</f>
        <v>46338</v>
      </c>
      <c r="C92" s="19" t="str">
        <f t="shared" ca="1" si="5"/>
        <v xml:space="preserve"> </v>
      </c>
      <c r="D92" s="23" t="str">
        <f t="shared" si="27"/>
        <v/>
      </c>
      <c r="E92" s="20" t="str">
        <f t="shared" si="28"/>
        <v/>
      </c>
      <c r="F92" s="20" t="str">
        <f>IF(AND(A91="",A93=""),"",IF(A92="",ROUND(SUM($F$29:F91),2),IF(A92=$D$8,$E$28-ROUND(SUM($F$29:F91),2),ROUND($E$28/$D$8,2))))</f>
        <v/>
      </c>
      <c r="G92" s="20" t="str">
        <f>IF(A91=$D$8,SUM($G$29:G91),IF(A92&gt;$F$8,"",IF(T92&lt;&gt;T91,SUM(V92*$F$24*E91/T92,W92*$F$24*E91/T91),E91*$F$24*D92/T91)))</f>
        <v/>
      </c>
      <c r="H92" s="20" t="str">
        <f>IF(A91=$D$8,SUM($H$29:H91),IF(A91&gt;$D$8,"",F92+G92))</f>
        <v/>
      </c>
      <c r="I92" s="20"/>
      <c r="J92" s="20"/>
      <c r="K92" s="20"/>
      <c r="L92" s="20"/>
      <c r="M92" s="20" t="str">
        <f t="shared" si="31"/>
        <v/>
      </c>
      <c r="N92" s="20"/>
      <c r="O92" s="20"/>
      <c r="P92" s="20"/>
      <c r="Q92" s="66" t="str">
        <f>IF(A91=$D$8,XIRR(H$28:H91,C$28:C91),"")</f>
        <v/>
      </c>
      <c r="R92" s="20" t="str">
        <f t="shared" si="35"/>
        <v/>
      </c>
      <c r="S92" s="14" t="e">
        <f t="shared" ca="1" si="7"/>
        <v>#VALUE!</v>
      </c>
      <c r="T92" s="14" t="e">
        <f t="shared" ca="1" si="8"/>
        <v>#VALUE!</v>
      </c>
      <c r="U92" s="14" t="e">
        <f t="shared" ca="1" si="32"/>
        <v>#VALUE!</v>
      </c>
      <c r="V92" s="15" t="e">
        <f t="shared" ca="1" si="33"/>
        <v>#VALUE!</v>
      </c>
      <c r="W92" s="16" t="e">
        <f t="shared" ca="1" si="34"/>
        <v>#VALUE!</v>
      </c>
      <c r="X92" s="14"/>
    </row>
    <row r="93" spans="1:24" x14ac:dyDescent="0.35">
      <c r="A93" s="23" t="str">
        <f t="shared" si="12"/>
        <v/>
      </c>
      <c r="B93" s="19">
        <f ca="1">EDATE($B$28,65)</f>
        <v>46368</v>
      </c>
      <c r="C93" s="19" t="str">
        <f t="shared" ca="1" si="5"/>
        <v xml:space="preserve"> </v>
      </c>
      <c r="D93" s="23" t="str">
        <f t="shared" si="27"/>
        <v/>
      </c>
      <c r="E93" s="20" t="str">
        <f t="shared" si="28"/>
        <v/>
      </c>
      <c r="F93" s="20" t="str">
        <f>IF(AND(A92="",A94=""),"",IF(A93="",ROUND(SUM($F$29:F92),2),IF(A93=$D$8,$E$28-ROUND(SUM($F$29:F92),2),ROUND($E$28/$D$8,2))))</f>
        <v/>
      </c>
      <c r="G93" s="20" t="str">
        <f>IF(A92=$D$8,SUM($G$29:G92),IF(A93&gt;$F$8,"",IF(T93&lt;&gt;T92,SUM(V93*$F$24*E92/T93,W93*$F$24*E92/T92),E92*$F$24*D93/T92)))</f>
        <v/>
      </c>
      <c r="H93" s="20" t="str">
        <f>IF(A92=$D$8,SUM($H$29:H92),IF(A92&gt;$D$8,"",F93+G93))</f>
        <v/>
      </c>
      <c r="I93" s="20"/>
      <c r="J93" s="20"/>
      <c r="K93" s="20"/>
      <c r="L93" s="20"/>
      <c r="M93" s="20" t="str">
        <f t="shared" si="31"/>
        <v/>
      </c>
      <c r="N93" s="20"/>
      <c r="O93" s="20"/>
      <c r="P93" s="20"/>
      <c r="Q93" s="66" t="str">
        <f>IF(A92=$D$8,XIRR(H$28:H92,C$28:C92),"")</f>
        <v/>
      </c>
      <c r="R93" s="20" t="str">
        <f t="shared" si="35"/>
        <v/>
      </c>
      <c r="S93" s="14" t="e">
        <f t="shared" ca="1" si="7"/>
        <v>#VALUE!</v>
      </c>
      <c r="T93" s="14" t="e">
        <f t="shared" ca="1" si="8"/>
        <v>#VALUE!</v>
      </c>
      <c r="U93" s="14" t="e">
        <f t="shared" ca="1" si="32"/>
        <v>#VALUE!</v>
      </c>
      <c r="V93" s="15" t="e">
        <f t="shared" ca="1" si="33"/>
        <v>#VALUE!</v>
      </c>
      <c r="W93" s="16" t="e">
        <f t="shared" ca="1" si="34"/>
        <v>#VALUE!</v>
      </c>
      <c r="X93" s="14"/>
    </row>
    <row r="94" spans="1:24" x14ac:dyDescent="0.35">
      <c r="A94" s="23" t="str">
        <f t="shared" si="12"/>
        <v/>
      </c>
      <c r="B94" s="19">
        <f ca="1">EDATE($B$28,66)</f>
        <v>46399</v>
      </c>
      <c r="C94" s="19" t="str">
        <f t="shared" ref="C94:C111" ca="1" si="36">IF(B94=$D$19,B94-1,(IF(B94&gt;$D$19," ",B94)))</f>
        <v xml:space="preserve"> </v>
      </c>
      <c r="D94" s="23" t="str">
        <f t="shared" si="27"/>
        <v/>
      </c>
      <c r="E94" s="20" t="str">
        <f t="shared" si="28"/>
        <v/>
      </c>
      <c r="F94" s="20" t="str">
        <f>IF(AND(A93="",A95=""),"",IF(A94="",ROUND(SUM($F$29:F93),2),IF(A94=$D$8,$E$28-ROUND(SUM($F$29:F93),2),ROUND($E$28/$D$8,2))))</f>
        <v/>
      </c>
      <c r="G94" s="20" t="str">
        <f>IF(A93=$D$8,SUM($G$29:G93),IF(A94&gt;$F$8,"",IF(T94&lt;&gt;T93,SUM(V94*$F$24*E93/T94,W94*$F$24*E93/T93),E93*$F$24*D94/T93)))</f>
        <v/>
      </c>
      <c r="H94" s="20" t="str">
        <f>IF(A93=$D$8,SUM($H$29:H93),IF(A93&gt;$D$8,"",F94+G94))</f>
        <v/>
      </c>
      <c r="I94" s="20"/>
      <c r="J94" s="20"/>
      <c r="K94" s="20"/>
      <c r="L94" s="20"/>
      <c r="M94" s="20" t="str">
        <f t="shared" si="31"/>
        <v/>
      </c>
      <c r="N94" s="20"/>
      <c r="O94" s="20"/>
      <c r="P94" s="20"/>
      <c r="Q94" s="66" t="str">
        <f>IF(A93=$D$8,XIRR(H$28:H93,C$28:C93),"")</f>
        <v/>
      </c>
      <c r="R94" s="20" t="str">
        <f t="shared" ref="R94:R112" si="37">IF(A93=$D$8,G94+M94+F94,"")</f>
        <v/>
      </c>
      <c r="S94" s="14" t="e">
        <f t="shared" ref="S94:S112" ca="1" si="38">IF(C94="","",YEAR(C94))</f>
        <v>#VALUE!</v>
      </c>
      <c r="T94" s="14" t="e">
        <f t="shared" ref="T94:T112" ca="1" si="39">IF(OR(S94=2024,S94=2028,S94=2016,S94=2020),366,365)</f>
        <v>#VALUE!</v>
      </c>
      <c r="U94" s="14" t="e">
        <f t="shared" ca="1" si="32"/>
        <v>#VALUE!</v>
      </c>
      <c r="V94" s="15" t="e">
        <f t="shared" ca="1" si="33"/>
        <v>#VALUE!</v>
      </c>
      <c r="W94" s="16" t="e">
        <f t="shared" ca="1" si="34"/>
        <v>#VALUE!</v>
      </c>
      <c r="X94" s="14"/>
    </row>
    <row r="95" spans="1:24" x14ac:dyDescent="0.35">
      <c r="A95" s="23" t="str">
        <f t="shared" ref="A95:A113" si="40">IF(A94&lt;$D$8,A94+1,"")</f>
        <v/>
      </c>
      <c r="B95" s="19">
        <f ca="1">EDATE($B$28,67)</f>
        <v>46430</v>
      </c>
      <c r="C95" s="19" t="str">
        <f t="shared" ca="1" si="36"/>
        <v xml:space="preserve"> </v>
      </c>
      <c r="D95" s="23" t="str">
        <f t="shared" si="27"/>
        <v/>
      </c>
      <c r="E95" s="20" t="str">
        <f t="shared" si="28"/>
        <v/>
      </c>
      <c r="F95" s="20" t="str">
        <f>IF(AND(A94="",A96=""),"",IF(A95="",ROUND(SUM($F$29:F94),2),IF(A95=$D$8,$E$28-ROUND(SUM($F$29:F94),2),ROUND($E$28/$D$8,2))))</f>
        <v/>
      </c>
      <c r="G95" s="20" t="str">
        <f>IF(A94=$D$8,SUM($G$29:G94),IF(A95&gt;$F$8,"",IF(T95&lt;&gt;T94,SUM(V95*$F$24*E94/T95,W95*$F$24*E94/T94),E94*$F$24*D95/T94)))</f>
        <v/>
      </c>
      <c r="H95" s="20" t="str">
        <f>IF(A94=$D$8,SUM($H$29:H94),IF(A94&gt;$D$8,"",F95+G95))</f>
        <v/>
      </c>
      <c r="I95" s="20"/>
      <c r="J95" s="20"/>
      <c r="K95" s="20"/>
      <c r="L95" s="20"/>
      <c r="M95" s="20" t="str">
        <f t="shared" si="31"/>
        <v/>
      </c>
      <c r="N95" s="20"/>
      <c r="O95" s="20"/>
      <c r="P95" s="20"/>
      <c r="Q95" s="66" t="str">
        <f>IF(A94=$D$8,XIRR(H$28:H94,C$28:C94),"")</f>
        <v/>
      </c>
      <c r="R95" s="20" t="str">
        <f t="shared" si="37"/>
        <v/>
      </c>
      <c r="S95" s="14" t="e">
        <f t="shared" ca="1" si="38"/>
        <v>#VALUE!</v>
      </c>
      <c r="T95" s="14" t="e">
        <f t="shared" ca="1" si="39"/>
        <v>#VALUE!</v>
      </c>
      <c r="U95" s="14" t="e">
        <f t="shared" ca="1" si="32"/>
        <v>#VALUE!</v>
      </c>
      <c r="V95" s="15" t="e">
        <f t="shared" ca="1" si="33"/>
        <v>#VALUE!</v>
      </c>
      <c r="W95" s="16" t="e">
        <f t="shared" ca="1" si="34"/>
        <v>#VALUE!</v>
      </c>
      <c r="X95" s="14"/>
    </row>
    <row r="96" spans="1:24" x14ac:dyDescent="0.35">
      <c r="A96" s="23" t="str">
        <f t="shared" si="40"/>
        <v/>
      </c>
      <c r="B96" s="19">
        <f ca="1">EDATE($B$28,68)</f>
        <v>46458</v>
      </c>
      <c r="C96" s="19" t="str">
        <f t="shared" ca="1" si="36"/>
        <v xml:space="preserve"> </v>
      </c>
      <c r="D96" s="23" t="str">
        <f t="shared" si="27"/>
        <v/>
      </c>
      <c r="E96" s="20" t="str">
        <f t="shared" si="28"/>
        <v/>
      </c>
      <c r="F96" s="20" t="str">
        <f>IF(AND(A95="",A97=""),"",IF(A96="",ROUND(SUM($F$29:F95),2),IF(A96=$D$8,$E$28-ROUND(SUM($F$29:F95),2),ROUND($E$28/$D$8,2))))</f>
        <v/>
      </c>
      <c r="G96" s="20" t="str">
        <f>IF(A95=$D$8,SUM($G$29:G95),IF(A96&gt;$F$8,"",IF(T96&lt;&gt;T95,SUM(V96*$F$24*E95/T96,W96*$F$24*E95/T95),E95*$F$24*D96/T95)))</f>
        <v/>
      </c>
      <c r="H96" s="20" t="str">
        <f>IF(A95=$D$8,SUM($H$29:H95),IF(A95&gt;$D$8,"",F96+G96))</f>
        <v/>
      </c>
      <c r="I96" s="20"/>
      <c r="J96" s="20"/>
      <c r="K96" s="20"/>
      <c r="L96" s="20"/>
      <c r="M96" s="20" t="str">
        <f t="shared" si="31"/>
        <v/>
      </c>
      <c r="N96" s="20"/>
      <c r="O96" s="20"/>
      <c r="P96" s="20"/>
      <c r="Q96" s="66" t="str">
        <f>IF(A95=$D$8,XIRR(H$28:H95,C$28:C95),"")</f>
        <v/>
      </c>
      <c r="R96" s="20" t="str">
        <f t="shared" si="37"/>
        <v/>
      </c>
      <c r="S96" s="14" t="e">
        <f t="shared" ca="1" si="38"/>
        <v>#VALUE!</v>
      </c>
      <c r="T96" s="14" t="e">
        <f t="shared" ca="1" si="39"/>
        <v>#VALUE!</v>
      </c>
      <c r="U96" s="14" t="e">
        <f t="shared" ca="1" si="32"/>
        <v>#VALUE!</v>
      </c>
      <c r="V96" s="15" t="e">
        <f t="shared" ca="1" si="33"/>
        <v>#VALUE!</v>
      </c>
      <c r="W96" s="16" t="e">
        <f t="shared" ca="1" si="34"/>
        <v>#VALUE!</v>
      </c>
      <c r="X96" s="14"/>
    </row>
    <row r="97" spans="1:27" x14ac:dyDescent="0.35">
      <c r="A97" s="23" t="str">
        <f t="shared" si="40"/>
        <v/>
      </c>
      <c r="B97" s="19">
        <f ca="1">EDATE($B$28,69)</f>
        <v>46489</v>
      </c>
      <c r="C97" s="19" t="str">
        <f t="shared" ca="1" si="36"/>
        <v xml:space="preserve"> </v>
      </c>
      <c r="D97" s="23" t="str">
        <f t="shared" si="27"/>
        <v/>
      </c>
      <c r="E97" s="20" t="str">
        <f t="shared" si="28"/>
        <v/>
      </c>
      <c r="F97" s="20" t="str">
        <f>IF(AND(A96="",A98=""),"",IF(A97="",ROUND(SUM($F$29:F96),2),IF(A97=$D$8,$E$28-ROUND(SUM($F$29:F96),2),ROUND($E$28/$D$8,2))))</f>
        <v/>
      </c>
      <c r="G97" s="20" t="str">
        <f>IF(A96=$D$8,SUM($G$29:G96),IF(A97&gt;$F$8,"",IF(T97&lt;&gt;T96,SUM(V97*$F$24*E96/T97,W97*$F$24*E96/T96),E96*$F$24*D97/T96)))</f>
        <v/>
      </c>
      <c r="H97" s="20" t="str">
        <f>IF(A96=$D$8,SUM($H$29:H96),IF(A96&gt;$D$8,"",F97+G97))</f>
        <v/>
      </c>
      <c r="I97" s="20"/>
      <c r="J97" s="20"/>
      <c r="K97" s="20"/>
      <c r="L97" s="20"/>
      <c r="M97" s="20" t="str">
        <f t="shared" si="31"/>
        <v/>
      </c>
      <c r="N97" s="20"/>
      <c r="O97" s="20"/>
      <c r="P97" s="20"/>
      <c r="Q97" s="66" t="str">
        <f>IF(A96=$D$8,XIRR(H$28:H96,C$28:C96),"")</f>
        <v/>
      </c>
      <c r="R97" s="20" t="str">
        <f t="shared" si="37"/>
        <v/>
      </c>
      <c r="S97" s="14" t="e">
        <f t="shared" ca="1" si="38"/>
        <v>#VALUE!</v>
      </c>
      <c r="T97" s="14" t="e">
        <f t="shared" ca="1" si="39"/>
        <v>#VALUE!</v>
      </c>
      <c r="U97" s="14" t="e">
        <f t="shared" ca="1" si="32"/>
        <v>#VALUE!</v>
      </c>
      <c r="V97" s="15" t="e">
        <f t="shared" ca="1" si="33"/>
        <v>#VALUE!</v>
      </c>
      <c r="W97" s="16" t="e">
        <f t="shared" ca="1" si="34"/>
        <v>#VALUE!</v>
      </c>
      <c r="X97" s="14"/>
    </row>
    <row r="98" spans="1:27" x14ac:dyDescent="0.35">
      <c r="A98" s="23" t="str">
        <f t="shared" si="40"/>
        <v/>
      </c>
      <c r="B98" s="19">
        <f ca="1">EDATE($B$28,70)</f>
        <v>46519</v>
      </c>
      <c r="C98" s="19" t="str">
        <f t="shared" ca="1" si="36"/>
        <v xml:space="preserve"> </v>
      </c>
      <c r="D98" s="23" t="str">
        <f t="shared" si="27"/>
        <v/>
      </c>
      <c r="E98" s="20" t="str">
        <f t="shared" si="28"/>
        <v/>
      </c>
      <c r="F98" s="20" t="str">
        <f>IF(AND(A97="",A99=""),"",IF(A98="",ROUND(SUM($F$29:F97),2),IF(A98=$D$8,$E$28-ROUND(SUM($F$29:F97),2),ROUND($E$28/$D$8,2))))</f>
        <v/>
      </c>
      <c r="G98" s="20" t="str">
        <f>IF(A97=$D$8,SUM($G$29:G97),IF(A98&gt;$F$8,"",IF(T98&lt;&gt;T97,SUM(V98*$F$24*E97/T98,W98*$F$24*E97/T97),E97*$F$24*D98/T97)))</f>
        <v/>
      </c>
      <c r="H98" s="20" t="str">
        <f>IF(A97=$D$8,SUM($H$29:H97),IF(A97&gt;$D$8,"",F98+G98))</f>
        <v/>
      </c>
      <c r="I98" s="20"/>
      <c r="J98" s="20"/>
      <c r="K98" s="20"/>
      <c r="L98" s="20"/>
      <c r="M98" s="20" t="str">
        <f t="shared" si="31"/>
        <v/>
      </c>
      <c r="N98" s="20"/>
      <c r="O98" s="20"/>
      <c r="P98" s="20"/>
      <c r="Q98" s="66" t="str">
        <f>IF(A97=$D$8,XIRR(H$28:H97,C$28:C97),"")</f>
        <v/>
      </c>
      <c r="R98" s="20" t="str">
        <f t="shared" si="37"/>
        <v/>
      </c>
      <c r="S98" s="14" t="e">
        <f t="shared" ca="1" si="38"/>
        <v>#VALUE!</v>
      </c>
      <c r="T98" s="14" t="e">
        <f t="shared" ca="1" si="39"/>
        <v>#VALUE!</v>
      </c>
      <c r="U98" s="14" t="e">
        <f t="shared" ca="1" si="32"/>
        <v>#VALUE!</v>
      </c>
      <c r="V98" s="15" t="e">
        <f t="shared" ca="1" si="33"/>
        <v>#VALUE!</v>
      </c>
      <c r="W98" s="16" t="e">
        <f t="shared" ca="1" si="34"/>
        <v>#VALUE!</v>
      </c>
      <c r="X98" s="14"/>
    </row>
    <row r="99" spans="1:27" x14ac:dyDescent="0.35">
      <c r="A99" s="23" t="str">
        <f t="shared" si="40"/>
        <v/>
      </c>
      <c r="B99" s="19">
        <f ca="1">EDATE($B$28,71)</f>
        <v>46550</v>
      </c>
      <c r="C99" s="19" t="str">
        <f t="shared" ca="1" si="36"/>
        <v xml:space="preserve"> </v>
      </c>
      <c r="D99" s="23" t="str">
        <f t="shared" si="27"/>
        <v/>
      </c>
      <c r="E99" s="20" t="str">
        <f t="shared" si="28"/>
        <v/>
      </c>
      <c r="F99" s="20" t="str">
        <f>IF(AND(A98="",A100=""),"",IF(A99="",ROUND(SUM($F$29:F98),2),IF(A99=$D$8,$E$28-ROUND(SUM($F$29:F98),2),ROUND($E$28/$D$8,2))))</f>
        <v/>
      </c>
      <c r="G99" s="20" t="str">
        <f>IF(A98=$D$8,SUM($G$29:G98),IF(A99&gt;$F$8,"",IF(T99&lt;&gt;T98,SUM(V99*$F$24*E98/T99,W99*$F$24*E98/T98),E98*$F$24*D99/T98)))</f>
        <v/>
      </c>
      <c r="H99" s="20" t="str">
        <f>IF(A98=$D$8,SUM($H$29:H98),IF(A98&gt;$D$8,"",F99+G99))</f>
        <v/>
      </c>
      <c r="I99" s="20"/>
      <c r="J99" s="20"/>
      <c r="K99" s="20"/>
      <c r="L99" s="20"/>
      <c r="M99" s="20" t="str">
        <f t="shared" si="31"/>
        <v/>
      </c>
      <c r="N99" s="20"/>
      <c r="O99" s="20"/>
      <c r="P99" s="20"/>
      <c r="Q99" s="66" t="str">
        <f>IF(A98=$D$8,XIRR(H$28:H98,C$28:C98),"")</f>
        <v/>
      </c>
      <c r="R99" s="20" t="str">
        <f t="shared" si="37"/>
        <v/>
      </c>
      <c r="S99" s="14" t="e">
        <f t="shared" ca="1" si="38"/>
        <v>#VALUE!</v>
      </c>
      <c r="T99" s="14" t="e">
        <f t="shared" ca="1" si="39"/>
        <v>#VALUE!</v>
      </c>
      <c r="U99" s="14" t="e">
        <f t="shared" ca="1" si="32"/>
        <v>#VALUE!</v>
      </c>
      <c r="V99" s="15" t="e">
        <f t="shared" ca="1" si="33"/>
        <v>#VALUE!</v>
      </c>
      <c r="W99" s="16" t="e">
        <f t="shared" ca="1" si="34"/>
        <v>#VALUE!</v>
      </c>
      <c r="X99" s="14"/>
    </row>
    <row r="100" spans="1:27" x14ac:dyDescent="0.35">
      <c r="A100" s="23" t="str">
        <f t="shared" si="40"/>
        <v/>
      </c>
      <c r="B100" s="19">
        <f ca="1">EDATE($B$28,72)</f>
        <v>46580</v>
      </c>
      <c r="C100" s="19" t="str">
        <f t="shared" ca="1" si="36"/>
        <v xml:space="preserve"> </v>
      </c>
      <c r="D100" s="23" t="str">
        <f t="shared" si="27"/>
        <v/>
      </c>
      <c r="E100" s="20" t="str">
        <f t="shared" si="28"/>
        <v/>
      </c>
      <c r="F100" s="20" t="str">
        <f>IF(AND(A99="",A101=""),"",IF(A100="",ROUND(SUM($F$29:F99),2),IF(A100=$D$8,$E$28-ROUND(SUM($F$29:F99),2),ROUND($E$28/$D$8,2))))</f>
        <v/>
      </c>
      <c r="G100" s="20" t="str">
        <f>IF(A99=$D$8,SUM($G$29:G99),IF(A100&gt;$F$8,"",IF(T100&lt;&gt;T99,SUM(V100*$F$24*E99/T100,W100*$F$24*E99/T99),E99*$F$24*D100/T99)))</f>
        <v/>
      </c>
      <c r="H100" s="20" t="str">
        <f>IF(A99=$D$8,SUM($H$29:H99),IF(A99&gt;$D$8,"",F100+G100))</f>
        <v/>
      </c>
      <c r="I100" s="20"/>
      <c r="J100" s="20"/>
      <c r="K100" s="20"/>
      <c r="L100" s="20"/>
      <c r="M100" s="20" t="str">
        <f t="shared" si="31"/>
        <v/>
      </c>
      <c r="N100" s="20"/>
      <c r="O100" s="20"/>
      <c r="P100" s="20"/>
      <c r="Q100" s="66" t="str">
        <f>IF(A99=$D$8,XIRR(H$28:H99,C$28:C99),"")</f>
        <v/>
      </c>
      <c r="R100" s="20" t="str">
        <f t="shared" si="37"/>
        <v/>
      </c>
      <c r="S100" s="14" t="e">
        <f t="shared" ca="1" si="38"/>
        <v>#VALUE!</v>
      </c>
      <c r="T100" s="14" t="e">
        <f t="shared" ca="1" si="39"/>
        <v>#VALUE!</v>
      </c>
      <c r="U100" s="14" t="e">
        <f t="shared" ca="1" si="32"/>
        <v>#VALUE!</v>
      </c>
      <c r="V100" s="15" t="e">
        <f t="shared" ca="1" si="33"/>
        <v>#VALUE!</v>
      </c>
      <c r="W100" s="16" t="e">
        <f t="shared" ca="1" si="34"/>
        <v>#VALUE!</v>
      </c>
      <c r="X100" s="14"/>
    </row>
    <row r="101" spans="1:27" x14ac:dyDescent="0.35">
      <c r="A101" s="23" t="str">
        <f t="shared" si="40"/>
        <v/>
      </c>
      <c r="B101" s="19">
        <f ca="1">EDATE($B$28,73)</f>
        <v>46611</v>
      </c>
      <c r="C101" s="19" t="str">
        <f t="shared" ca="1" si="36"/>
        <v xml:space="preserve"> </v>
      </c>
      <c r="D101" s="23" t="str">
        <f t="shared" si="27"/>
        <v/>
      </c>
      <c r="E101" s="20" t="str">
        <f t="shared" si="28"/>
        <v/>
      </c>
      <c r="F101" s="20" t="str">
        <f>IF(AND(A100="",A102=""),"",IF(A101="",ROUND(SUM($F$29:F100),2),IF(A101=$D$8,$E$28-ROUND(SUM($F$29:F100),2),ROUND($E$28/$D$8,2))))</f>
        <v/>
      </c>
      <c r="G101" s="20" t="str">
        <f>IF(A100=$D$8,SUM($G$29:G100),IF(A101&gt;$F$8,"",IF(T101&lt;&gt;T100,SUM(V101*$F$24*E100/T101,W101*$F$24*E100/T100),E100*$F$24*D101/T100)))</f>
        <v/>
      </c>
      <c r="H101" s="20" t="str">
        <f>IF(A100=$D$8,SUM($H$29:H100),IF(A100&gt;$D$8,"",F101+G101))</f>
        <v/>
      </c>
      <c r="I101" s="20"/>
      <c r="J101" s="20"/>
      <c r="K101" s="20"/>
      <c r="L101" s="20"/>
      <c r="M101" s="20" t="str">
        <f t="shared" si="31"/>
        <v/>
      </c>
      <c r="N101" s="20"/>
      <c r="O101" s="20"/>
      <c r="P101" s="20"/>
      <c r="Q101" s="66" t="str">
        <f>IF(A100=$D$8,XIRR(H$28:H100,C$28:C100),"")</f>
        <v/>
      </c>
      <c r="R101" s="20" t="str">
        <f t="shared" si="37"/>
        <v/>
      </c>
      <c r="S101" s="14" t="e">
        <f t="shared" ca="1" si="38"/>
        <v>#VALUE!</v>
      </c>
      <c r="T101" s="14" t="e">
        <f t="shared" ca="1" si="39"/>
        <v>#VALUE!</v>
      </c>
      <c r="U101" s="14" t="e">
        <f t="shared" ca="1" si="32"/>
        <v>#VALUE!</v>
      </c>
      <c r="V101" s="15" t="e">
        <f t="shared" ca="1" si="33"/>
        <v>#VALUE!</v>
      </c>
      <c r="W101" s="16" t="e">
        <f t="shared" ca="1" si="34"/>
        <v>#VALUE!</v>
      </c>
      <c r="X101" s="14"/>
    </row>
    <row r="102" spans="1:27" x14ac:dyDescent="0.35">
      <c r="A102" s="23" t="str">
        <f t="shared" si="40"/>
        <v/>
      </c>
      <c r="B102" s="19">
        <f ca="1">EDATE($B$28,74)</f>
        <v>46642</v>
      </c>
      <c r="C102" s="19" t="str">
        <f t="shared" ca="1" si="36"/>
        <v xml:space="preserve"> </v>
      </c>
      <c r="D102" s="23" t="str">
        <f t="shared" si="27"/>
        <v/>
      </c>
      <c r="E102" s="20" t="str">
        <f t="shared" si="28"/>
        <v/>
      </c>
      <c r="F102" s="20" t="str">
        <f>IF(AND(A101="",A103=""),"",IF(A102="",ROUND(SUM($F$29:F101),2),IF(A102=$D$8,$E$28-ROUND(SUM($F$29:F101),2),ROUND($E$28/$D$8,2))))</f>
        <v/>
      </c>
      <c r="G102" s="20" t="str">
        <f>IF(A101=$D$8,SUM($G$29:G101),IF(A102&gt;$F$8,"",IF(T102&lt;&gt;T101,SUM(V102*$F$24*E101/T102,W102*$F$24*E101/T101),E101*$F$24*D102/T101)))</f>
        <v/>
      </c>
      <c r="H102" s="20" t="str">
        <f>IF(A101=$D$8,SUM($H$29:H101),IF(A101&gt;$D$8,"",F102+G102))</f>
        <v/>
      </c>
      <c r="I102" s="20"/>
      <c r="J102" s="20"/>
      <c r="K102" s="20"/>
      <c r="L102" s="20"/>
      <c r="M102" s="20" t="str">
        <f t="shared" si="31"/>
        <v/>
      </c>
      <c r="N102" s="20"/>
      <c r="O102" s="20"/>
      <c r="P102" s="20"/>
      <c r="Q102" s="66" t="str">
        <f>IF(A101=$D$8,XIRR(H$28:H101,C$28:C101),"")</f>
        <v/>
      </c>
      <c r="R102" s="20" t="str">
        <f t="shared" si="37"/>
        <v/>
      </c>
      <c r="S102" s="14" t="e">
        <f t="shared" ca="1" si="38"/>
        <v>#VALUE!</v>
      </c>
      <c r="T102" s="14" t="e">
        <f t="shared" ca="1" si="39"/>
        <v>#VALUE!</v>
      </c>
      <c r="U102" s="14" t="e">
        <f t="shared" ca="1" si="32"/>
        <v>#VALUE!</v>
      </c>
      <c r="V102" s="15" t="e">
        <f t="shared" ca="1" si="33"/>
        <v>#VALUE!</v>
      </c>
      <c r="W102" s="16" t="e">
        <f t="shared" ca="1" si="34"/>
        <v>#VALUE!</v>
      </c>
      <c r="X102" s="14"/>
    </row>
    <row r="103" spans="1:27" x14ac:dyDescent="0.35">
      <c r="A103" s="23" t="str">
        <f t="shared" si="40"/>
        <v/>
      </c>
      <c r="B103" s="19">
        <f ca="1">EDATE($B$28,75)</f>
        <v>46672</v>
      </c>
      <c r="C103" s="19" t="str">
        <f t="shared" ca="1" si="36"/>
        <v xml:space="preserve"> </v>
      </c>
      <c r="D103" s="23" t="str">
        <f t="shared" si="27"/>
        <v/>
      </c>
      <c r="E103" s="20" t="str">
        <f t="shared" si="28"/>
        <v/>
      </c>
      <c r="F103" s="20" t="str">
        <f>IF(AND(A102="",A104=""),"",IF(A103="",ROUND(SUM($F$29:F102),2),IF(A103=$D$8,$E$28-ROUND(SUM($F$29:F102),2),ROUND($E$28/$D$8,2))))</f>
        <v/>
      </c>
      <c r="G103" s="20" t="str">
        <f>IF(A102=$D$8,SUM($G$29:G102),IF(A103&gt;$F$8,"",IF(T103&lt;&gt;T102,SUM(V103*$F$24*E102/T103,W103*$F$24*E102/T102),E102*$F$24*D103/T102)))</f>
        <v/>
      </c>
      <c r="H103" s="20" t="str">
        <f>IF(A102=$D$8,SUM($H$29:H102),IF(A102&gt;$D$8,"",F103+G103))</f>
        <v/>
      </c>
      <c r="I103" s="20"/>
      <c r="J103" s="20"/>
      <c r="K103" s="20"/>
      <c r="L103" s="20"/>
      <c r="M103" s="20" t="str">
        <f t="shared" si="31"/>
        <v/>
      </c>
      <c r="N103" s="20"/>
      <c r="O103" s="20"/>
      <c r="P103" s="20"/>
      <c r="Q103" s="66" t="str">
        <f>IF(A102=$D$8,XIRR(H$28:H102,C$28:C102),"")</f>
        <v/>
      </c>
      <c r="R103" s="20" t="str">
        <f t="shared" si="37"/>
        <v/>
      </c>
      <c r="S103" s="14" t="e">
        <f t="shared" ca="1" si="38"/>
        <v>#VALUE!</v>
      </c>
      <c r="T103" s="14" t="e">
        <f t="shared" ca="1" si="39"/>
        <v>#VALUE!</v>
      </c>
      <c r="U103" s="14" t="e">
        <f t="shared" ca="1" si="32"/>
        <v>#VALUE!</v>
      </c>
      <c r="V103" s="15" t="e">
        <f t="shared" ca="1" si="33"/>
        <v>#VALUE!</v>
      </c>
      <c r="W103" s="16" t="e">
        <f t="shared" ca="1" si="34"/>
        <v>#VALUE!</v>
      </c>
      <c r="X103" s="14"/>
    </row>
    <row r="104" spans="1:27" x14ac:dyDescent="0.35">
      <c r="A104" s="23" t="str">
        <f t="shared" si="40"/>
        <v/>
      </c>
      <c r="B104" s="19">
        <f ca="1">EDATE($B$28,76)</f>
        <v>46703</v>
      </c>
      <c r="C104" s="19" t="str">
        <f t="shared" ca="1" si="36"/>
        <v xml:space="preserve"> </v>
      </c>
      <c r="D104" s="23" t="str">
        <f t="shared" si="27"/>
        <v/>
      </c>
      <c r="E104" s="20" t="str">
        <f t="shared" si="28"/>
        <v/>
      </c>
      <c r="F104" s="20" t="str">
        <f>IF(AND(A103="",A105=""),"",IF(A104="",ROUND(SUM($F$29:F103),2),IF(A104=$D$8,$E$28-ROUND(SUM($F$29:F103),2),ROUND($E$28/$D$8,2))))</f>
        <v/>
      </c>
      <c r="G104" s="20" t="str">
        <f>IF(A103=$D$8,SUM($G$29:G103),IF(A104&gt;$F$8,"",IF(T104&lt;&gt;T103,SUM(V104*$F$24*E103/T104,W104*$F$24*E103/T103),E103*$F$24*D104/T103)))</f>
        <v/>
      </c>
      <c r="H104" s="20" t="str">
        <f>IF(A103=$D$8,SUM($H$29:H103),IF(A103&gt;$D$8,"",F104+G104))</f>
        <v/>
      </c>
      <c r="I104" s="20"/>
      <c r="J104" s="20"/>
      <c r="K104" s="20"/>
      <c r="L104" s="20"/>
      <c r="M104" s="20" t="str">
        <f t="shared" si="31"/>
        <v/>
      </c>
      <c r="N104" s="20"/>
      <c r="O104" s="20"/>
      <c r="P104" s="20"/>
      <c r="Q104" s="66" t="str">
        <f>IF(A103=$D$8,XIRR(H$28:H103,C$28:C103),"")</f>
        <v/>
      </c>
      <c r="R104" s="20" t="str">
        <f t="shared" si="37"/>
        <v/>
      </c>
      <c r="S104" s="14" t="e">
        <f t="shared" ca="1" si="38"/>
        <v>#VALUE!</v>
      </c>
      <c r="T104" s="14" t="e">
        <f t="shared" ca="1" si="39"/>
        <v>#VALUE!</v>
      </c>
      <c r="U104" s="14" t="e">
        <f t="shared" ca="1" si="32"/>
        <v>#VALUE!</v>
      </c>
      <c r="V104" s="15" t="e">
        <f t="shared" ca="1" si="33"/>
        <v>#VALUE!</v>
      </c>
      <c r="W104" s="16" t="e">
        <f t="shared" ca="1" si="34"/>
        <v>#VALUE!</v>
      </c>
      <c r="X104" s="14"/>
    </row>
    <row r="105" spans="1:27" x14ac:dyDescent="0.35">
      <c r="A105" s="23" t="str">
        <f t="shared" si="40"/>
        <v/>
      </c>
      <c r="B105" s="19">
        <f ca="1">EDATE($B$28,77)</f>
        <v>46733</v>
      </c>
      <c r="C105" s="19" t="str">
        <f t="shared" ca="1" si="36"/>
        <v xml:space="preserve"> </v>
      </c>
      <c r="D105" s="23" t="str">
        <f t="shared" si="27"/>
        <v/>
      </c>
      <c r="E105" s="20" t="str">
        <f t="shared" si="28"/>
        <v/>
      </c>
      <c r="F105" s="20" t="str">
        <f>IF(AND(A104="",A106=""),"",IF(A105="",ROUND(SUM($F$29:F104),2),IF(A105=$D$8,$E$28-ROUND(SUM($F$29:F104),2),ROUND($E$28/$D$8,2))))</f>
        <v/>
      </c>
      <c r="G105" s="20" t="str">
        <f>IF(A104=$D$8,SUM($G$29:G104),IF(A105&gt;$F$8,"",IF(T105&lt;&gt;T104,SUM(V105*$F$24*E104/T105,W105*$F$24*E104/T104),E104*$F$24*D105/T104)))</f>
        <v/>
      </c>
      <c r="H105" s="20" t="str">
        <f>IF(A104=$D$8,SUM($H$29:H104),IF(A104&gt;$D$8,"",F105+G105))</f>
        <v/>
      </c>
      <c r="I105" s="20"/>
      <c r="J105" s="20"/>
      <c r="K105" s="20"/>
      <c r="L105" s="20"/>
      <c r="M105" s="20" t="str">
        <f t="shared" si="31"/>
        <v/>
      </c>
      <c r="N105" s="20"/>
      <c r="O105" s="20"/>
      <c r="P105" s="20"/>
      <c r="Q105" s="66" t="str">
        <f>IF(A104=$D$8,XIRR(H$28:H104,C$28:C104),"")</f>
        <v/>
      </c>
      <c r="R105" s="20" t="str">
        <f t="shared" si="37"/>
        <v/>
      </c>
      <c r="S105" s="14" t="e">
        <f t="shared" ca="1" si="38"/>
        <v>#VALUE!</v>
      </c>
      <c r="T105" s="14" t="e">
        <f t="shared" ca="1" si="39"/>
        <v>#VALUE!</v>
      </c>
      <c r="U105" s="14" t="e">
        <f t="shared" ca="1" si="32"/>
        <v>#VALUE!</v>
      </c>
      <c r="V105" s="15" t="e">
        <f t="shared" ca="1" si="33"/>
        <v>#VALUE!</v>
      </c>
      <c r="W105" s="16" t="e">
        <f t="shared" ca="1" si="34"/>
        <v>#VALUE!</v>
      </c>
      <c r="X105" s="14"/>
    </row>
    <row r="106" spans="1:27" x14ac:dyDescent="0.35">
      <c r="A106" s="23" t="str">
        <f t="shared" si="40"/>
        <v/>
      </c>
      <c r="B106" s="19">
        <f ca="1">EDATE($B$28,78)</f>
        <v>46764</v>
      </c>
      <c r="C106" s="19" t="str">
        <f t="shared" ca="1" si="36"/>
        <v xml:space="preserve"> </v>
      </c>
      <c r="D106" s="23" t="str">
        <f t="shared" ref="D106:D112" si="41">IF(A106&gt;$D$8,"",C106-C105)</f>
        <v/>
      </c>
      <c r="E106" s="20" t="str">
        <f t="shared" ref="E106:E112" si="42">IF(A106&gt;$D$8,"",E105-F106)</f>
        <v/>
      </c>
      <c r="F106" s="20" t="str">
        <f>IF(AND(A105="",A107=""),"",IF(A106="",ROUND(SUM($F$29:F105),2),IF(A106=$D$8,$E$28-ROUND(SUM($F$29:F105),2),ROUND($E$28/$D$8,2))))</f>
        <v/>
      </c>
      <c r="G106" s="20" t="str">
        <f>IF(A105=$D$8,SUM($G$29:G105),IF(A106&gt;$F$8,"",IF(T106&lt;&gt;T105,SUM(V106*$F$24*E105/T106,W106*$F$24*E105/T105),E105*$F$24*D106/T105)))</f>
        <v/>
      </c>
      <c r="H106" s="20" t="str">
        <f>IF(A105=$D$8,SUM($H$29:H105),IF(A105&gt;$D$8,"",F106+G106))</f>
        <v/>
      </c>
      <c r="I106" s="20"/>
      <c r="J106" s="20"/>
      <c r="K106" s="20"/>
      <c r="L106" s="20"/>
      <c r="M106" s="20" t="str">
        <f t="shared" si="31"/>
        <v/>
      </c>
      <c r="N106" s="20"/>
      <c r="O106" s="20"/>
      <c r="P106" s="20"/>
      <c r="Q106" s="66" t="str">
        <f>IF(A105=$D$8,XIRR(H$28:H105,C$28:C105),"")</f>
        <v/>
      </c>
      <c r="R106" s="20" t="str">
        <f t="shared" si="37"/>
        <v/>
      </c>
      <c r="S106" s="14" t="e">
        <f t="shared" ca="1" si="38"/>
        <v>#VALUE!</v>
      </c>
      <c r="T106" s="14" t="e">
        <f t="shared" ca="1" si="39"/>
        <v>#VALUE!</v>
      </c>
      <c r="U106" s="14" t="e">
        <f t="shared" ca="1" si="32"/>
        <v>#VALUE!</v>
      </c>
      <c r="V106" s="15" t="e">
        <f t="shared" ca="1" si="33"/>
        <v>#VALUE!</v>
      </c>
      <c r="W106" s="16" t="e">
        <f t="shared" ca="1" si="34"/>
        <v>#VALUE!</v>
      </c>
      <c r="X106" s="14"/>
    </row>
    <row r="107" spans="1:27" x14ac:dyDescent="0.35">
      <c r="A107" s="23" t="str">
        <f t="shared" si="40"/>
        <v/>
      </c>
      <c r="B107" s="19">
        <f ca="1">EDATE($B$28,79)</f>
        <v>46795</v>
      </c>
      <c r="C107" s="19" t="str">
        <f t="shared" ca="1" si="36"/>
        <v xml:space="preserve"> </v>
      </c>
      <c r="D107" s="23" t="str">
        <f t="shared" si="41"/>
        <v/>
      </c>
      <c r="E107" s="20" t="str">
        <f t="shared" si="42"/>
        <v/>
      </c>
      <c r="F107" s="20" t="str">
        <f>IF(AND(A106="",A108=""),"",IF(A107="",ROUND(SUM($F$29:F106),2),IF(A107=$D$8,$E$28-ROUND(SUM($F$29:F106),2),ROUND($E$28/$D$8,2))))</f>
        <v/>
      </c>
      <c r="G107" s="20" t="str">
        <f>IF(A106=$D$8,SUM($G$29:G106),IF(A107&gt;$F$8,"",IF(T107&lt;&gt;T106,SUM(V107*$F$24*E106/T107,W107*$F$24*E106/T106),E106*$F$24*D107/T106)))</f>
        <v/>
      </c>
      <c r="H107" s="20" t="str">
        <f>IF(A106=$D$8,SUM($H$29:H106),IF(A106&gt;$D$8,"",F107+G107))</f>
        <v/>
      </c>
      <c r="I107" s="20"/>
      <c r="J107" s="20"/>
      <c r="K107" s="20"/>
      <c r="L107" s="20"/>
      <c r="M107" s="20" t="str">
        <f t="shared" ref="M107:M113" si="43">IF(A106=$D$8,$M$28,"")</f>
        <v/>
      </c>
      <c r="N107" s="20"/>
      <c r="O107" s="20"/>
      <c r="P107" s="20"/>
      <c r="Q107" s="66" t="str">
        <f>IF(A106=$D$8,XIRR(H$28:H106,C$28:C106),"")</f>
        <v/>
      </c>
      <c r="R107" s="20" t="str">
        <f t="shared" si="37"/>
        <v/>
      </c>
      <c r="S107" s="14" t="e">
        <f t="shared" ca="1" si="38"/>
        <v>#VALUE!</v>
      </c>
      <c r="T107" s="14" t="e">
        <f t="shared" ca="1" si="39"/>
        <v>#VALUE!</v>
      </c>
      <c r="U107" s="14" t="e">
        <f t="shared" ca="1" si="32"/>
        <v>#VALUE!</v>
      </c>
      <c r="V107" s="15" t="e">
        <f t="shared" ca="1" si="33"/>
        <v>#VALUE!</v>
      </c>
      <c r="W107" s="16" t="e">
        <f t="shared" ca="1" si="34"/>
        <v>#VALUE!</v>
      </c>
      <c r="X107" s="14"/>
    </row>
    <row r="108" spans="1:27" x14ac:dyDescent="0.35">
      <c r="A108" s="23" t="str">
        <f t="shared" si="40"/>
        <v/>
      </c>
      <c r="B108" s="19">
        <f ca="1">EDATE($B$28,80)</f>
        <v>46824</v>
      </c>
      <c r="C108" s="19" t="str">
        <f t="shared" ca="1" si="36"/>
        <v xml:space="preserve"> </v>
      </c>
      <c r="D108" s="23" t="str">
        <f t="shared" si="41"/>
        <v/>
      </c>
      <c r="E108" s="20" t="str">
        <f t="shared" si="42"/>
        <v/>
      </c>
      <c r="F108" s="20" t="str">
        <f>IF(AND(A107="",A109=""),"",IF(A108="",ROUND(SUM($F$29:F107),2),IF(A108=$D$8,$E$28-ROUND(SUM($F$29:F107),2),ROUND($E$28/$D$8,2))))</f>
        <v/>
      </c>
      <c r="G108" s="20" t="str">
        <f>IF(A107=$D$8,SUM($G$29:G107),IF(A108&gt;$F$8,"",IF(T108&lt;&gt;T107,SUM(V108*$F$24*E107/T108,W108*$F$24*E107/T107),E107*$F$24*D108/T107)))</f>
        <v/>
      </c>
      <c r="H108" s="20" t="str">
        <f>IF(A107=$D$8,SUM($H$29:H107),IF(A107&gt;$D$8,"",F108+G108))</f>
        <v/>
      </c>
      <c r="I108" s="20"/>
      <c r="J108" s="20"/>
      <c r="K108" s="20"/>
      <c r="L108" s="20"/>
      <c r="M108" s="20" t="str">
        <f t="shared" si="43"/>
        <v/>
      </c>
      <c r="N108" s="20"/>
      <c r="O108" s="20"/>
      <c r="P108" s="20"/>
      <c r="Q108" s="66" t="str">
        <f>IF(A107=$D$8,XIRR(H$28:H107,C$28:C107),"")</f>
        <v/>
      </c>
      <c r="R108" s="20" t="str">
        <f t="shared" si="37"/>
        <v/>
      </c>
      <c r="S108" s="14" t="e">
        <f t="shared" ca="1" si="38"/>
        <v>#VALUE!</v>
      </c>
      <c r="T108" s="14" t="e">
        <f t="shared" ca="1" si="39"/>
        <v>#VALUE!</v>
      </c>
      <c r="U108" s="14" t="e">
        <f t="shared" ca="1" si="32"/>
        <v>#VALUE!</v>
      </c>
      <c r="V108" s="15" t="e">
        <f t="shared" ca="1" si="33"/>
        <v>#VALUE!</v>
      </c>
      <c r="W108" s="16" t="e">
        <f t="shared" ca="1" si="34"/>
        <v>#VALUE!</v>
      </c>
      <c r="X108" s="14"/>
    </row>
    <row r="109" spans="1:27" x14ac:dyDescent="0.35">
      <c r="A109" s="23" t="str">
        <f t="shared" si="40"/>
        <v/>
      </c>
      <c r="B109" s="19">
        <f ca="1">EDATE($B$28,81)</f>
        <v>46855</v>
      </c>
      <c r="C109" s="19" t="str">
        <f t="shared" ca="1" si="36"/>
        <v xml:space="preserve"> </v>
      </c>
      <c r="D109" s="23" t="str">
        <f t="shared" si="41"/>
        <v/>
      </c>
      <c r="E109" s="20" t="str">
        <f t="shared" si="42"/>
        <v/>
      </c>
      <c r="F109" s="20" t="str">
        <f>IF(AND(A108="",A110=""),"",IF(A109="",ROUND(SUM($F$29:F108),2),IF(A109=$D$8,$E$28-ROUND(SUM($F$29:F108),2),ROUND($E$28/$D$8,2))))</f>
        <v/>
      </c>
      <c r="G109" s="20" t="str">
        <f>IF(A108=$D$8,SUM($G$29:G108),IF(A109&gt;$F$8,"",IF(T109&lt;&gt;T108,SUM(V109*$F$24*E108/T109,W109*$F$24*E108/T108),E108*$F$24*D109/T108)))</f>
        <v/>
      </c>
      <c r="H109" s="20" t="str">
        <f>IF(A108=$D$8,SUM($H$29:H108),IF(A108&gt;$D$8,"",F109+G109))</f>
        <v/>
      </c>
      <c r="I109" s="20"/>
      <c r="J109" s="20"/>
      <c r="K109" s="20"/>
      <c r="L109" s="20"/>
      <c r="M109" s="20" t="str">
        <f t="shared" si="43"/>
        <v/>
      </c>
      <c r="N109" s="20"/>
      <c r="O109" s="20"/>
      <c r="P109" s="20"/>
      <c r="Q109" s="66" t="str">
        <f>IF(A108=$D$8,XIRR(H$28:H108,C$28:C108),"")</f>
        <v/>
      </c>
      <c r="R109" s="20" t="str">
        <f t="shared" si="37"/>
        <v/>
      </c>
      <c r="S109" s="14" t="e">
        <f t="shared" ca="1" si="38"/>
        <v>#VALUE!</v>
      </c>
      <c r="T109" s="14" t="e">
        <f t="shared" ca="1" si="39"/>
        <v>#VALUE!</v>
      </c>
      <c r="U109" s="14" t="e">
        <f t="shared" ca="1" si="32"/>
        <v>#VALUE!</v>
      </c>
      <c r="V109" s="15" t="e">
        <f t="shared" ca="1" si="33"/>
        <v>#VALUE!</v>
      </c>
      <c r="W109" s="16" t="e">
        <f t="shared" ca="1" si="34"/>
        <v>#VALUE!</v>
      </c>
      <c r="X109" s="14"/>
    </row>
    <row r="110" spans="1:27" x14ac:dyDescent="0.35">
      <c r="A110" s="23" t="str">
        <f t="shared" si="40"/>
        <v/>
      </c>
      <c r="B110" s="19">
        <f ca="1">EDATE($B$28,82)</f>
        <v>46885</v>
      </c>
      <c r="C110" s="19" t="str">
        <f t="shared" ca="1" si="36"/>
        <v xml:space="preserve"> </v>
      </c>
      <c r="D110" s="23" t="str">
        <f t="shared" si="41"/>
        <v/>
      </c>
      <c r="E110" s="20" t="str">
        <f t="shared" si="42"/>
        <v/>
      </c>
      <c r="F110" s="20" t="str">
        <f>IF(AND(A109="",A111=""),"",IF(A110="",ROUND(SUM($F$29:F109),2),IF(A110=$D$8,$E$28-ROUND(SUM($F$29:F109),2),ROUND($E$28/$D$8,2))))</f>
        <v/>
      </c>
      <c r="G110" s="20" t="str">
        <f>IF(A109=$D$8,SUM($G$29:G109),IF(A110&gt;$F$8,"",IF(T110&lt;&gt;T109,SUM(V110*$F$24*E109/T110,W110*$F$24*E109/T109),E109*$F$24*D110/T109)))</f>
        <v/>
      </c>
      <c r="H110" s="20" t="str">
        <f>IF(A109=$D$8,SUM($H$29:H109),IF(A109&gt;$D$8,"",F110+G110))</f>
        <v/>
      </c>
      <c r="I110" s="20"/>
      <c r="J110" s="20"/>
      <c r="K110" s="20"/>
      <c r="L110" s="20"/>
      <c r="M110" s="20" t="str">
        <f t="shared" si="43"/>
        <v/>
      </c>
      <c r="N110" s="20"/>
      <c r="O110" s="20"/>
      <c r="P110" s="20"/>
      <c r="Q110" s="66" t="str">
        <f>IF(A109=$D$8,XIRR(H$28:H109,C$28:C109),"")</f>
        <v/>
      </c>
      <c r="R110" s="20" t="str">
        <f t="shared" si="37"/>
        <v/>
      </c>
      <c r="S110" s="14" t="e">
        <f t="shared" ca="1" si="38"/>
        <v>#VALUE!</v>
      </c>
      <c r="T110" s="14" t="e">
        <f t="shared" ca="1" si="39"/>
        <v>#VALUE!</v>
      </c>
      <c r="U110" s="14" t="e">
        <f t="shared" ca="1" si="32"/>
        <v>#VALUE!</v>
      </c>
      <c r="V110" s="15" t="e">
        <f t="shared" ca="1" si="33"/>
        <v>#VALUE!</v>
      </c>
      <c r="W110" s="16" t="e">
        <f t="shared" ca="1" si="34"/>
        <v>#VALUE!</v>
      </c>
      <c r="X110" s="14"/>
    </row>
    <row r="111" spans="1:27" x14ac:dyDescent="0.35">
      <c r="A111" s="23" t="str">
        <f t="shared" si="40"/>
        <v/>
      </c>
      <c r="B111" s="19">
        <f ca="1">EDATE($B$28,83)</f>
        <v>46916</v>
      </c>
      <c r="C111" s="19" t="str">
        <f t="shared" ca="1" si="36"/>
        <v xml:space="preserve"> </v>
      </c>
      <c r="D111" s="23" t="str">
        <f t="shared" si="41"/>
        <v/>
      </c>
      <c r="E111" s="20" t="str">
        <f t="shared" si="42"/>
        <v/>
      </c>
      <c r="F111" s="20" t="str">
        <f>IF(AND(A110="",A112=""),"",IF(A111="",ROUND(SUM($F$29:F110),2),IF(A111=$D$8,$E$28-ROUND(SUM($F$29:F110),2),ROUND($E$28/$D$8,2))))</f>
        <v/>
      </c>
      <c r="G111" s="20" t="str">
        <f>IF(A110=$D$8,SUM($G$29:G110),IF(A111&gt;$F$8,"",IF(T111&lt;&gt;T110,SUM(V111*$F$24*E110/T111,W111*$F$24*E110/T110),E110*$F$24*D111/T110)))</f>
        <v/>
      </c>
      <c r="H111" s="20" t="str">
        <f>IF(A110=$D$8,SUM($H$29:H110),IF(A110&gt;$D$8,"",F111+G111))</f>
        <v/>
      </c>
      <c r="I111" s="20"/>
      <c r="J111" s="20"/>
      <c r="K111" s="20"/>
      <c r="L111" s="20"/>
      <c r="M111" s="20" t="str">
        <f t="shared" si="43"/>
        <v/>
      </c>
      <c r="N111" s="20"/>
      <c r="O111" s="20"/>
      <c r="P111" s="20"/>
      <c r="Q111" s="66" t="str">
        <f>IF(A110=$D$8,XIRR(H$28:H110,C$28:C110),"")</f>
        <v/>
      </c>
      <c r="R111" s="20" t="str">
        <f t="shared" si="37"/>
        <v/>
      </c>
      <c r="S111" s="14" t="e">
        <f t="shared" ca="1" si="38"/>
        <v>#VALUE!</v>
      </c>
      <c r="T111" s="14" t="e">
        <f t="shared" ca="1" si="39"/>
        <v>#VALUE!</v>
      </c>
      <c r="U111" s="14" t="e">
        <f t="shared" ca="1" si="32"/>
        <v>#VALUE!</v>
      </c>
      <c r="V111" s="15" t="e">
        <f t="shared" ca="1" si="33"/>
        <v>#VALUE!</v>
      </c>
      <c r="W111" s="16" t="e">
        <f t="shared" ca="1" si="34"/>
        <v>#VALUE!</v>
      </c>
      <c r="X111" s="14"/>
      <c r="AA111" s="67"/>
    </row>
    <row r="112" spans="1:27" x14ac:dyDescent="0.35">
      <c r="A112" s="23" t="str">
        <f t="shared" si="40"/>
        <v/>
      </c>
      <c r="B112" s="19">
        <f ca="1">EDATE($B$28,84)</f>
        <v>46946</v>
      </c>
      <c r="C112" s="19" t="str">
        <f ca="1">IF(B112=$D$19,B112-1,(IF(B112&gt;$D$19," ",B112)))</f>
        <v xml:space="preserve"> </v>
      </c>
      <c r="D112" s="23" t="str">
        <f t="shared" si="41"/>
        <v/>
      </c>
      <c r="E112" s="20" t="str">
        <f t="shared" si="42"/>
        <v/>
      </c>
      <c r="F112" s="20" t="str">
        <f>IF(AND(A111="",A113=""),"",IF(A112="",ROUND(SUM($F$29:F111),2),IF(A112=$D$8,$E$28-ROUND(SUM($F$29:F111),2),ROUND($E$28/$D$8,2))))</f>
        <v/>
      </c>
      <c r="G112" s="20" t="str">
        <f>IF(A111=$D$8,SUM($G$29:G111),IF(A112&gt;$F$8,"",IF(T112&lt;&gt;T111,SUM(V112*$F$24*E111/T112,W112*$F$24*E111/T111),E111*$F$24*D112/T111)))</f>
        <v/>
      </c>
      <c r="H112" s="20" t="str">
        <f>IF(A111=$D$8,SUM($H$29:H111),IF(A111&gt;$D$8,"",F112+G112))</f>
        <v/>
      </c>
      <c r="I112" s="20"/>
      <c r="J112" s="20"/>
      <c r="K112" s="20"/>
      <c r="L112" s="20"/>
      <c r="M112" s="20" t="str">
        <f t="shared" si="43"/>
        <v/>
      </c>
      <c r="N112" s="20"/>
      <c r="O112" s="20"/>
      <c r="P112" s="20"/>
      <c r="Q112" s="66" t="str">
        <f>IF(A111=$D$8,XIRR(H$28:H111,C$28:C111),"")</f>
        <v/>
      </c>
      <c r="R112" s="20" t="str">
        <f t="shared" si="37"/>
        <v/>
      </c>
      <c r="S112" s="14" t="e">
        <f t="shared" ca="1" si="38"/>
        <v>#VALUE!</v>
      </c>
      <c r="T112" s="14" t="e">
        <f t="shared" ca="1" si="39"/>
        <v>#VALUE!</v>
      </c>
      <c r="U112" s="14" t="e">
        <f t="shared" ca="1" si="32"/>
        <v>#VALUE!</v>
      </c>
      <c r="V112" s="15" t="e">
        <f t="shared" ca="1" si="33"/>
        <v>#VALUE!</v>
      </c>
      <c r="W112" s="16" t="e">
        <f t="shared" ca="1" si="34"/>
        <v>#VALUE!</v>
      </c>
      <c r="X112" s="14"/>
    </row>
    <row r="113" spans="1:24" x14ac:dyDescent="0.35">
      <c r="A113" s="23" t="str">
        <f t="shared" si="40"/>
        <v/>
      </c>
      <c r="B113" s="14"/>
      <c r="C113" s="19"/>
      <c r="D113" s="14"/>
      <c r="E113" s="14"/>
      <c r="F113" s="20" t="str">
        <f>IF(AND(A112="",A114=""),"",IF(A113="",ROUND(SUM($F$29:F112),2),IF(A113=$D$8,$E$28-ROUND(SUM($F$29:F112),2),ROUND($E$28/$D$8,2))))</f>
        <v/>
      </c>
      <c r="G113" s="20" t="str">
        <f>IF(A112=$D$8,SUM($G$29:G112),IF(A113&gt;$F$8,"",IF(T113&lt;&gt;T112,SUM(V113*$F$24*E112/T113,W113*$F$24*E112/T112),E112*$F$24*D113/T112)))</f>
        <v/>
      </c>
      <c r="H113" s="20" t="str">
        <f>IF(A112=$D$8,SUM($H$29:H112),IF(A112&gt;$D$8,"",F113+G113))</f>
        <v/>
      </c>
      <c r="I113" s="20"/>
      <c r="J113" s="20"/>
      <c r="K113" s="20"/>
      <c r="L113" s="20"/>
      <c r="M113" s="20" t="str">
        <f t="shared" si="43"/>
        <v/>
      </c>
      <c r="N113" s="20"/>
      <c r="O113" s="20"/>
      <c r="P113" s="20"/>
      <c r="Q113" s="66" t="str">
        <f>IF(A112=$D$8,XIRR(H$28:H112,C$28:C112),"")</f>
        <v/>
      </c>
      <c r="R113" s="20" t="str">
        <f>IF(A112=$D$8,G113+M113+F113,"")</f>
        <v/>
      </c>
      <c r="S113" s="14"/>
      <c r="T113" s="14"/>
      <c r="U113" s="14"/>
      <c r="V113" s="14"/>
      <c r="W113" s="14"/>
      <c r="X113" s="14"/>
    </row>
    <row r="114" spans="1:24" x14ac:dyDescent="0.35">
      <c r="A114" s="14"/>
      <c r="B114" s="14"/>
      <c r="C114" s="19"/>
      <c r="D114" s="14"/>
      <c r="E114" s="14"/>
      <c r="F114" s="14"/>
      <c r="G114" s="14"/>
      <c r="H114" s="14"/>
      <c r="I114" s="14"/>
      <c r="J114" s="14"/>
      <c r="K114" s="14"/>
      <c r="L114" s="14"/>
      <c r="M114" s="14"/>
      <c r="N114" s="14"/>
      <c r="O114" s="14"/>
      <c r="P114" s="14"/>
      <c r="Q114" s="66"/>
      <c r="R114" s="14"/>
      <c r="S114" s="14"/>
      <c r="T114" s="14"/>
      <c r="U114" s="14"/>
      <c r="V114" s="14"/>
      <c r="W114" s="14"/>
      <c r="X114" s="14"/>
    </row>
    <row r="115" spans="1:24" x14ac:dyDescent="0.35">
      <c r="A115" s="14"/>
      <c r="B115" s="14"/>
      <c r="C115" s="19"/>
      <c r="D115" s="14"/>
      <c r="E115" s="14"/>
      <c r="F115" s="14"/>
      <c r="G115" s="14"/>
      <c r="H115" s="14"/>
      <c r="I115" s="14"/>
      <c r="J115" s="14"/>
      <c r="K115" s="14"/>
      <c r="L115" s="14"/>
      <c r="M115" s="14"/>
      <c r="N115" s="14"/>
      <c r="O115" s="14"/>
      <c r="P115" s="14"/>
      <c r="Q115" s="66"/>
      <c r="R115" s="14"/>
      <c r="S115" s="14"/>
      <c r="T115" s="14"/>
      <c r="U115" s="14"/>
      <c r="V115" s="14"/>
      <c r="W115" s="14"/>
      <c r="X115" s="14"/>
    </row>
    <row r="116" spans="1:24" x14ac:dyDescent="0.35">
      <c r="A116" s="14"/>
      <c r="B116" s="14"/>
      <c r="C116" s="19"/>
      <c r="D116" s="14"/>
      <c r="E116" s="14"/>
      <c r="F116" s="14"/>
      <c r="G116" s="14"/>
      <c r="H116" s="14"/>
      <c r="I116" s="14"/>
      <c r="J116" s="14"/>
      <c r="K116" s="14"/>
      <c r="L116" s="14"/>
      <c r="M116" s="14"/>
      <c r="N116" s="14"/>
      <c r="O116" s="14"/>
      <c r="P116" s="14"/>
      <c r="Q116" s="66"/>
      <c r="R116" s="14"/>
      <c r="S116" s="14"/>
      <c r="T116" s="14"/>
      <c r="U116" s="14"/>
      <c r="V116" s="14"/>
      <c r="W116" s="14"/>
      <c r="X116" s="14"/>
    </row>
    <row r="117" spans="1:24" x14ac:dyDescent="0.35">
      <c r="A117" s="14"/>
      <c r="B117" s="14"/>
      <c r="C117" s="19"/>
      <c r="D117" s="14"/>
      <c r="E117" s="14"/>
      <c r="F117" s="14"/>
      <c r="G117" s="14"/>
      <c r="H117" s="14"/>
      <c r="I117" s="14"/>
      <c r="J117" s="14"/>
      <c r="K117" s="14"/>
      <c r="L117" s="14"/>
      <c r="M117" s="14"/>
      <c r="N117" s="14"/>
      <c r="O117" s="14"/>
      <c r="P117" s="14"/>
      <c r="Q117" s="14"/>
      <c r="R117" s="14"/>
      <c r="S117" s="14"/>
      <c r="T117" s="14"/>
      <c r="U117" s="14"/>
      <c r="V117" s="14"/>
      <c r="W117" s="14"/>
      <c r="X117" s="14"/>
    </row>
    <row r="118" spans="1:24" x14ac:dyDescent="0.3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row>
    <row r="119" spans="1:24" x14ac:dyDescent="0.3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row>
    <row r="120" spans="1:24" x14ac:dyDescent="0.3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row>
    <row r="121" spans="1:24" x14ac:dyDescent="0.3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row>
    <row r="122" spans="1:24" x14ac:dyDescent="0.3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row>
    <row r="123" spans="1:24" x14ac:dyDescent="0.3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row>
    <row r="124" spans="1:24" x14ac:dyDescent="0.3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row>
    <row r="125" spans="1:24" x14ac:dyDescent="0.3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row>
    <row r="126" spans="1:24" x14ac:dyDescent="0.3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row>
    <row r="127" spans="1:24" x14ac:dyDescent="0.3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row>
    <row r="128" spans="1:24" x14ac:dyDescent="0.3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row>
    <row r="129" spans="1:24" x14ac:dyDescent="0.3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row>
    <row r="130" spans="1:24" x14ac:dyDescent="0.3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row>
    <row r="131" spans="1:24" x14ac:dyDescent="0.3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row>
    <row r="132" spans="1:24" x14ac:dyDescent="0.3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row>
    <row r="133" spans="1:24" x14ac:dyDescent="0.3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row>
    <row r="134" spans="1:24" x14ac:dyDescent="0.3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row>
    <row r="135" spans="1:24" x14ac:dyDescent="0.3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row>
    <row r="136" spans="1:24" x14ac:dyDescent="0.3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row>
    <row r="137" spans="1:24" x14ac:dyDescent="0.3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row>
    <row r="138" spans="1:24" x14ac:dyDescent="0.3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row>
    <row r="139" spans="1:24" x14ac:dyDescent="0.3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row>
    <row r="140" spans="1:24" x14ac:dyDescent="0.3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row>
    <row r="141" spans="1:24" x14ac:dyDescent="0.3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row>
    <row r="142" spans="1:24" x14ac:dyDescent="0.3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row>
    <row r="143" spans="1:24" x14ac:dyDescent="0.3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row>
    <row r="144" spans="1:24" x14ac:dyDescent="0.3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row>
    <row r="145" spans="1:24" x14ac:dyDescent="0.3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row>
    <row r="146" spans="1:24" x14ac:dyDescent="0.3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row>
    <row r="147" spans="1:24" x14ac:dyDescent="0.3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row>
    <row r="148" spans="1:24" x14ac:dyDescent="0.3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row>
    <row r="149" spans="1:24" x14ac:dyDescent="0.3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row>
    <row r="150" spans="1:24" x14ac:dyDescent="0.3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row>
    <row r="151" spans="1:24" x14ac:dyDescent="0.3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row>
    <row r="152" spans="1:24" x14ac:dyDescent="0.3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row>
    <row r="153" spans="1:24" x14ac:dyDescent="0.3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row>
    <row r="154" spans="1:24" x14ac:dyDescent="0.3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row>
    <row r="155" spans="1:24" x14ac:dyDescent="0.3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row>
    <row r="156" spans="1:24" x14ac:dyDescent="0.3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row>
    <row r="157" spans="1:24" x14ac:dyDescent="0.3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row>
    <row r="158" spans="1:24" x14ac:dyDescent="0.3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row>
    <row r="159" spans="1:24" x14ac:dyDescent="0.3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row>
    <row r="160" spans="1:24" x14ac:dyDescent="0.3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row>
    <row r="161" spans="1:24" x14ac:dyDescent="0.3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row>
    <row r="162" spans="1:24" x14ac:dyDescent="0.3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row>
    <row r="163" spans="1:24" x14ac:dyDescent="0.3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row>
    <row r="164" spans="1:24" x14ac:dyDescent="0.3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row>
    <row r="165" spans="1:24" x14ac:dyDescent="0.3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row>
    <row r="166" spans="1:24" x14ac:dyDescent="0.3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row>
    <row r="167" spans="1:24" x14ac:dyDescent="0.3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row>
    <row r="168" spans="1:24" x14ac:dyDescent="0.3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row>
    <row r="169" spans="1:24" x14ac:dyDescent="0.3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row>
    <row r="170" spans="1:24" x14ac:dyDescent="0.3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row>
    <row r="171" spans="1:24" x14ac:dyDescent="0.3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row>
    <row r="172" spans="1:24" x14ac:dyDescent="0.3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row>
    <row r="173" spans="1:24" x14ac:dyDescent="0.3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row>
    <row r="174" spans="1:24" x14ac:dyDescent="0.3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row>
    <row r="175" spans="1:24" x14ac:dyDescent="0.3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row>
    <row r="176" spans="1:24" x14ac:dyDescent="0.3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row>
    <row r="177" spans="1:24" x14ac:dyDescent="0.3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row>
    <row r="178" spans="1:24" x14ac:dyDescent="0.3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row>
    <row r="179" spans="1:24" x14ac:dyDescent="0.3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row>
    <row r="180" spans="1:24" x14ac:dyDescent="0.3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row>
    <row r="181" spans="1:24" x14ac:dyDescent="0.3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row>
    <row r="182" spans="1:24" x14ac:dyDescent="0.3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row>
    <row r="183" spans="1:24" x14ac:dyDescent="0.3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row>
    <row r="184" spans="1:24" x14ac:dyDescent="0.3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row>
    <row r="185" spans="1:24" x14ac:dyDescent="0.3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row>
    <row r="186" spans="1:24" x14ac:dyDescent="0.3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row>
    <row r="187" spans="1:24" x14ac:dyDescent="0.3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row>
    <row r="188" spans="1:24" x14ac:dyDescent="0.3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row>
    <row r="189" spans="1:24" x14ac:dyDescent="0.3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row>
    <row r="190" spans="1:24" x14ac:dyDescent="0.3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row>
    <row r="191" spans="1:24" x14ac:dyDescent="0.3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row>
    <row r="192" spans="1:24" x14ac:dyDescent="0.35">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row>
    <row r="193" spans="1:24" x14ac:dyDescent="0.35">
      <c r="A193" s="3"/>
      <c r="R193" s="14"/>
      <c r="S193" s="14"/>
      <c r="T193" s="14"/>
      <c r="U193" s="14"/>
      <c r="V193" s="14"/>
      <c r="W193" s="14"/>
      <c r="X193" s="14"/>
    </row>
    <row r="194" spans="1:24" x14ac:dyDescent="0.35">
      <c r="A194" s="3"/>
      <c r="R194" s="14"/>
      <c r="S194" s="14"/>
      <c r="T194" s="14"/>
      <c r="U194" s="14"/>
      <c r="V194" s="14"/>
      <c r="W194" s="14"/>
      <c r="X194" s="14"/>
    </row>
    <row r="195" spans="1:24" x14ac:dyDescent="0.35">
      <c r="A195" s="3"/>
      <c r="R195" s="14"/>
      <c r="S195" s="14"/>
      <c r="T195" s="14"/>
      <c r="U195" s="14"/>
      <c r="V195" s="14"/>
      <c r="W195" s="14"/>
      <c r="X195" s="14"/>
    </row>
    <row r="196" spans="1:24" x14ac:dyDescent="0.35">
      <c r="A196" s="3"/>
      <c r="R196" s="14"/>
      <c r="S196" s="14"/>
      <c r="T196" s="14"/>
      <c r="U196" s="14"/>
      <c r="V196" s="14"/>
      <c r="W196" s="14"/>
      <c r="X196" s="14"/>
    </row>
    <row r="197" spans="1:24" x14ac:dyDescent="0.35">
      <c r="A197" s="3"/>
      <c r="R197" s="14"/>
      <c r="S197" s="14"/>
      <c r="T197" s="14"/>
      <c r="U197" s="14"/>
      <c r="V197" s="14"/>
      <c r="W197" s="14"/>
      <c r="X197" s="14"/>
    </row>
    <row r="198" spans="1:24" x14ac:dyDescent="0.35">
      <c r="A198" s="3"/>
      <c r="R198" s="14"/>
      <c r="S198" s="14"/>
      <c r="T198" s="14"/>
      <c r="U198" s="14"/>
      <c r="V198" s="14"/>
      <c r="W198" s="14"/>
      <c r="X198" s="14"/>
    </row>
    <row r="199" spans="1:24" x14ac:dyDescent="0.35">
      <c r="A199" s="3"/>
      <c r="R199" s="14"/>
      <c r="S199" s="14"/>
      <c r="T199" s="14"/>
      <c r="U199" s="14"/>
      <c r="V199" s="14"/>
      <c r="W199" s="14"/>
      <c r="X199" s="14"/>
    </row>
    <row r="200" spans="1:24" x14ac:dyDescent="0.35">
      <c r="A200" s="3"/>
      <c r="R200" s="14"/>
      <c r="S200" s="14"/>
      <c r="T200" s="14"/>
      <c r="U200" s="14"/>
      <c r="V200" s="14"/>
      <c r="W200" s="14"/>
      <c r="X200" s="14"/>
    </row>
    <row r="201" spans="1:24" x14ac:dyDescent="0.35">
      <c r="A201" s="3"/>
      <c r="R201" s="14"/>
      <c r="S201" s="14"/>
      <c r="T201" s="14"/>
      <c r="U201" s="14"/>
      <c r="V201" s="14"/>
      <c r="W201" s="14"/>
      <c r="X201" s="14"/>
    </row>
    <row r="202" spans="1:24" x14ac:dyDescent="0.35">
      <c r="A202" s="3"/>
      <c r="R202" s="14"/>
      <c r="S202" s="14"/>
      <c r="T202" s="14"/>
      <c r="U202" s="14"/>
      <c r="V202" s="14"/>
      <c r="W202" s="14"/>
      <c r="X202" s="14"/>
    </row>
    <row r="203" spans="1:24" x14ac:dyDescent="0.35">
      <c r="A203" s="3"/>
      <c r="R203" s="14"/>
      <c r="S203" s="14"/>
      <c r="T203" s="14"/>
      <c r="U203" s="14"/>
      <c r="V203" s="14"/>
      <c r="W203" s="14"/>
      <c r="X203" s="14"/>
    </row>
    <row r="204" spans="1:24" x14ac:dyDescent="0.35">
      <c r="A204" s="3"/>
      <c r="R204" s="14"/>
      <c r="S204" s="14"/>
      <c r="T204" s="14"/>
      <c r="U204" s="14"/>
      <c r="V204" s="14"/>
      <c r="W204" s="14"/>
      <c r="X204" s="14"/>
    </row>
    <row r="205" spans="1:24" x14ac:dyDescent="0.35">
      <c r="A205" s="3"/>
      <c r="R205" s="14"/>
      <c r="S205" s="14"/>
      <c r="T205" s="14"/>
      <c r="U205" s="14"/>
      <c r="V205" s="14"/>
      <c r="W205" s="14"/>
      <c r="X205" s="14"/>
    </row>
    <row r="206" spans="1:24" x14ac:dyDescent="0.35">
      <c r="A206" s="3"/>
      <c r="R206" s="14"/>
      <c r="S206" s="14"/>
      <c r="T206" s="14"/>
      <c r="U206" s="14"/>
      <c r="V206" s="14"/>
      <c r="W206" s="14"/>
      <c r="X206" s="14"/>
    </row>
    <row r="207" spans="1:24" x14ac:dyDescent="0.35">
      <c r="A207" s="3"/>
      <c r="R207" s="14"/>
      <c r="S207" s="14"/>
      <c r="T207" s="14"/>
      <c r="U207" s="14"/>
      <c r="V207" s="14"/>
      <c r="W207" s="14"/>
      <c r="X207" s="14"/>
    </row>
    <row r="208" spans="1:24" x14ac:dyDescent="0.35">
      <c r="A208" s="3"/>
      <c r="R208" s="14"/>
      <c r="S208" s="14"/>
      <c r="T208" s="14"/>
      <c r="U208" s="14"/>
      <c r="V208" s="14"/>
      <c r="W208" s="14"/>
      <c r="X208" s="14"/>
    </row>
    <row r="209" spans="1:24" x14ac:dyDescent="0.35">
      <c r="A209" s="3"/>
      <c r="R209" s="14"/>
      <c r="S209" s="14"/>
      <c r="T209" s="14"/>
      <c r="U209" s="14"/>
      <c r="V209" s="14"/>
      <c r="W209" s="14"/>
      <c r="X209" s="14"/>
    </row>
    <row r="210" spans="1:24" x14ac:dyDescent="0.35">
      <c r="A210" s="3"/>
      <c r="R210" s="14"/>
      <c r="S210" s="14"/>
      <c r="T210" s="14"/>
      <c r="U210" s="14"/>
      <c r="V210" s="14"/>
      <c r="W210" s="14"/>
      <c r="X210" s="14"/>
    </row>
    <row r="211" spans="1:24" x14ac:dyDescent="0.35">
      <c r="A211" s="3"/>
      <c r="R211" s="14"/>
      <c r="S211" s="14"/>
      <c r="T211" s="14"/>
      <c r="U211" s="14"/>
      <c r="V211" s="14"/>
      <c r="W211" s="14"/>
      <c r="X211" s="14"/>
    </row>
    <row r="212" spans="1:24" x14ac:dyDescent="0.35">
      <c r="A212" s="3"/>
      <c r="R212" s="14"/>
      <c r="S212" s="14"/>
      <c r="T212" s="14"/>
      <c r="U212" s="14"/>
      <c r="V212" s="14"/>
      <c r="W212" s="14"/>
      <c r="X212" s="14"/>
    </row>
    <row r="213" spans="1:24" x14ac:dyDescent="0.35">
      <c r="A213" s="3"/>
      <c r="R213" s="14"/>
      <c r="S213" s="14"/>
      <c r="T213" s="14"/>
      <c r="U213" s="14"/>
      <c r="V213" s="14"/>
      <c r="W213" s="14"/>
      <c r="X213" s="14"/>
    </row>
    <row r="214" spans="1:24" x14ac:dyDescent="0.35">
      <c r="A214" s="3"/>
      <c r="R214" s="14"/>
      <c r="S214" s="14"/>
      <c r="T214" s="14"/>
      <c r="U214" s="14"/>
      <c r="V214" s="14"/>
      <c r="W214" s="14"/>
      <c r="X214" s="14"/>
    </row>
    <row r="215" spans="1:24" x14ac:dyDescent="0.35">
      <c r="A215" s="3"/>
      <c r="R215" s="14"/>
      <c r="S215" s="14"/>
      <c r="T215" s="14"/>
      <c r="U215" s="14"/>
      <c r="V215" s="14"/>
      <c r="W215" s="14"/>
      <c r="X215" s="14"/>
    </row>
    <row r="216" spans="1:24" x14ac:dyDescent="0.35">
      <c r="A216" s="3"/>
    </row>
    <row r="217" spans="1:24" x14ac:dyDescent="0.35">
      <c r="A217" s="3"/>
    </row>
    <row r="218" spans="1:24" x14ac:dyDescent="0.35">
      <c r="A218" s="3"/>
    </row>
    <row r="219" spans="1:24" x14ac:dyDescent="0.35">
      <c r="A219" s="3"/>
    </row>
    <row r="220" spans="1:24" x14ac:dyDescent="0.35">
      <c r="A220" s="3"/>
    </row>
    <row r="221" spans="1:24" x14ac:dyDescent="0.35">
      <c r="A221" s="3"/>
    </row>
    <row r="222" spans="1:24" x14ac:dyDescent="0.35">
      <c r="A222" s="3"/>
    </row>
    <row r="223" spans="1:24" x14ac:dyDescent="0.35">
      <c r="A223" s="3"/>
    </row>
    <row r="224" spans="1:24" x14ac:dyDescent="0.35">
      <c r="A224" s="3"/>
    </row>
    <row r="225" spans="1:1" x14ac:dyDescent="0.35">
      <c r="A225" s="3"/>
    </row>
    <row r="226" spans="1:1" x14ac:dyDescent="0.35">
      <c r="A226" s="3"/>
    </row>
    <row r="227" spans="1:1" x14ac:dyDescent="0.35">
      <c r="A227" s="3"/>
    </row>
    <row r="228" spans="1:1" x14ac:dyDescent="0.35">
      <c r="A228" s="3"/>
    </row>
    <row r="229" spans="1:1" x14ac:dyDescent="0.35">
      <c r="A229" s="3"/>
    </row>
    <row r="230" spans="1:1" x14ac:dyDescent="0.35">
      <c r="A230" s="3"/>
    </row>
    <row r="231" spans="1:1" x14ac:dyDescent="0.35">
      <c r="A231" s="3"/>
    </row>
    <row r="232" spans="1:1" x14ac:dyDescent="0.35">
      <c r="A232" s="3"/>
    </row>
    <row r="233" spans="1:1" x14ac:dyDescent="0.35">
      <c r="A233" s="3"/>
    </row>
    <row r="234" spans="1:1" x14ac:dyDescent="0.35">
      <c r="A234" s="3"/>
    </row>
    <row r="235" spans="1:1" x14ac:dyDescent="0.35">
      <c r="A235" s="3"/>
    </row>
    <row r="236" spans="1:1" x14ac:dyDescent="0.35">
      <c r="A236" s="3"/>
    </row>
    <row r="237" spans="1:1" x14ac:dyDescent="0.35">
      <c r="A237" s="3"/>
    </row>
    <row r="238" spans="1:1" x14ac:dyDescent="0.35">
      <c r="A238" s="3"/>
    </row>
    <row r="239" spans="1:1" x14ac:dyDescent="0.35">
      <c r="A239" s="3"/>
    </row>
    <row r="240" spans="1:1" x14ac:dyDescent="0.35">
      <c r="A240" s="3"/>
    </row>
    <row r="241" spans="1:1" x14ac:dyDescent="0.35">
      <c r="A241" s="3"/>
    </row>
    <row r="242" spans="1:1" x14ac:dyDescent="0.35">
      <c r="A242" s="3"/>
    </row>
    <row r="243" spans="1:1" x14ac:dyDescent="0.35">
      <c r="A243" s="3"/>
    </row>
    <row r="244" spans="1:1" x14ac:dyDescent="0.35">
      <c r="A244" s="3"/>
    </row>
    <row r="245" spans="1:1" x14ac:dyDescent="0.35">
      <c r="A245" s="3"/>
    </row>
    <row r="246" spans="1:1" x14ac:dyDescent="0.35">
      <c r="A246" s="3"/>
    </row>
    <row r="247" spans="1:1" x14ac:dyDescent="0.35">
      <c r="A247" s="3"/>
    </row>
    <row r="248" spans="1:1" x14ac:dyDescent="0.35">
      <c r="A248" s="3"/>
    </row>
    <row r="249" spans="1:1" x14ac:dyDescent="0.35">
      <c r="A249" s="3"/>
    </row>
    <row r="250" spans="1:1" x14ac:dyDescent="0.35">
      <c r="A250" s="3"/>
    </row>
    <row r="251" spans="1:1" x14ac:dyDescent="0.35">
      <c r="A251" s="3"/>
    </row>
    <row r="252" spans="1:1" x14ac:dyDescent="0.35">
      <c r="A252" s="3"/>
    </row>
    <row r="253" spans="1:1" x14ac:dyDescent="0.35">
      <c r="A253" s="3"/>
    </row>
    <row r="254" spans="1:1" x14ac:dyDescent="0.35">
      <c r="A254" s="3"/>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sheetData>
  <sheetProtection algorithmName="SHA-512" hashValue="R0Eec7RZUWDnFSXrNWi8Tf8+Was3+Xt1dNZbik3EfzROy0llX7sxcKQb8gLfT57CRJ3v17LowfDRRyPr/boc2g==" saltValue="Es5D6bR8+1/0hdvSWm2umQ==" spinCount="100000" sheet="1" objects="1" scenarios="1"/>
  <protectedRanges>
    <protectedRange password="C797" sqref="Q4 A26:H27 M27:R27 M26 P26:R26 A28:R124" name="Диапазон1"/>
  </protectedRanges>
  <mergeCells count="23">
    <mergeCell ref="I26:L26"/>
    <mergeCell ref="H10:M10"/>
    <mergeCell ref="P10:Q10"/>
    <mergeCell ref="H11:M11"/>
    <mergeCell ref="P11:Q11"/>
    <mergeCell ref="H12:H16"/>
    <mergeCell ref="P12:Q12"/>
    <mergeCell ref="P13:Q13"/>
    <mergeCell ref="P16:Q16"/>
    <mergeCell ref="H17:M17"/>
    <mergeCell ref="P17:Q17"/>
    <mergeCell ref="D20:F20"/>
    <mergeCell ref="A1:R1"/>
    <mergeCell ref="H8:M8"/>
    <mergeCell ref="H9:M9"/>
    <mergeCell ref="H5:Q5"/>
    <mergeCell ref="H3:M3"/>
    <mergeCell ref="H4:M4"/>
    <mergeCell ref="H6:M6"/>
    <mergeCell ref="H7:M7"/>
    <mergeCell ref="P7:Q7"/>
    <mergeCell ref="P8:Q8"/>
    <mergeCell ref="P9:Q9"/>
  </mergeCells>
  <dataValidations disablePrompts="1" count="2">
    <dataValidation type="list" allowBlank="1" showInputMessage="1" showErrorMessage="1" sqref="R8">
      <formula1>$T$8:$T$9</formula1>
    </dataValidation>
    <dataValidation type="list" allowBlank="1" showInputMessage="1" showErrorMessage="1" sqref="M21:P21">
      <formula1>$AA$7:$AA$8</formula1>
    </dataValidation>
  </dataValidations>
  <pageMargins left="0.7" right="0.7" top="0.75" bottom="0.75" header="0.3" footer="0.3"/>
  <pageSetup paperSize="9" scale="50" orientation="portrait" r:id="rId1"/>
  <ignoredErrors>
    <ignoredError sqref="G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topLeftCell="F61" workbookViewId="0">
      <selection activeCell="Q83" sqref="Q83"/>
    </sheetView>
  </sheetViews>
  <sheetFormatPr defaultColWidth="9.1796875" defaultRowHeight="14.5" x14ac:dyDescent="0.35"/>
  <cols>
    <col min="1" max="1" width="12.54296875" style="5" customWidth="1"/>
    <col min="2" max="2" width="10.453125" style="5" bestFit="1" customWidth="1"/>
    <col min="3" max="3" width="9.1796875" style="5"/>
    <col min="4" max="4" width="14.26953125" style="5" bestFit="1" customWidth="1"/>
    <col min="5" max="5" width="17.453125" style="5" customWidth="1"/>
    <col min="6" max="6" width="15" style="5" customWidth="1"/>
    <col min="7" max="8" width="14.26953125" style="5" customWidth="1"/>
    <col min="9" max="9" width="13.1796875" style="5" bestFit="1" customWidth="1"/>
    <col min="10" max="14" width="13.1796875" style="5" customWidth="1"/>
    <col min="15" max="15" width="14" style="5" customWidth="1"/>
    <col min="16" max="16" width="11.81640625" style="5" customWidth="1"/>
    <col min="17" max="17" width="16.26953125" style="5" customWidth="1"/>
    <col min="18" max="16384" width="9.1796875" style="5"/>
  </cols>
  <sheetData>
    <row r="1" spans="1:17" x14ac:dyDescent="0.35">
      <c r="A1" s="25" t="s">
        <v>78</v>
      </c>
    </row>
    <row r="2" spans="1:17" ht="33.75" customHeight="1" x14ac:dyDescent="0.35">
      <c r="A2" s="298" t="s">
        <v>124</v>
      </c>
      <c r="B2" s="298"/>
      <c r="C2" s="298"/>
      <c r="D2" s="298"/>
      <c r="E2" s="298"/>
      <c r="F2" s="298"/>
      <c r="G2" s="298"/>
      <c r="H2" s="298"/>
      <c r="I2" s="298"/>
      <c r="J2" s="298"/>
      <c r="K2" s="298"/>
      <c r="L2" s="298"/>
      <c r="M2" s="298"/>
      <c r="N2" s="298"/>
      <c r="O2" s="298"/>
      <c r="P2" s="298"/>
      <c r="Q2" s="298"/>
    </row>
    <row r="4" spans="1:17" x14ac:dyDescent="0.35">
      <c r="A4" s="77" t="s">
        <v>79</v>
      </c>
      <c r="B4" s="77"/>
      <c r="C4" s="77"/>
      <c r="D4" s="77"/>
      <c r="E4" s="299"/>
      <c r="F4" s="299"/>
      <c r="G4" s="27"/>
      <c r="H4" s="27"/>
      <c r="I4" s="27"/>
      <c r="J4" s="27"/>
      <c r="K4" s="27"/>
      <c r="L4" s="27"/>
      <c r="M4" s="27"/>
      <c r="N4" s="27"/>
      <c r="O4" s="27" t="s">
        <v>80</v>
      </c>
      <c r="P4" s="27"/>
      <c r="Q4" s="27"/>
    </row>
    <row r="5" spans="1:17" ht="26.25" customHeight="1" x14ac:dyDescent="0.35">
      <c r="A5" s="77" t="s">
        <v>81</v>
      </c>
      <c r="B5" s="77"/>
      <c r="C5" s="77"/>
      <c r="D5" s="77"/>
      <c r="E5" s="299"/>
      <c r="F5" s="299"/>
      <c r="G5" s="30"/>
      <c r="H5" s="30"/>
      <c r="I5" s="30"/>
      <c r="J5" s="30"/>
      <c r="K5" s="30"/>
      <c r="L5" s="30"/>
      <c r="M5" s="30"/>
      <c r="N5" s="30"/>
      <c r="O5" s="308" t="s">
        <v>82</v>
      </c>
      <c r="P5" s="309"/>
      <c r="Q5" s="312">
        <f>I29</f>
        <v>6000</v>
      </c>
    </row>
    <row r="6" spans="1:17" ht="17.25" customHeight="1" x14ac:dyDescent="0.35">
      <c r="A6" s="26" t="s">
        <v>83</v>
      </c>
      <c r="B6" s="26"/>
      <c r="C6" s="26"/>
      <c r="D6" s="26"/>
      <c r="E6" s="300">
        <f>графік!F7</f>
        <v>300000</v>
      </c>
      <c r="F6" s="300"/>
      <c r="G6" s="163"/>
      <c r="H6" s="163"/>
      <c r="I6" s="30"/>
      <c r="J6" s="30"/>
      <c r="K6" s="30"/>
      <c r="L6" s="30"/>
      <c r="M6" s="30"/>
      <c r="N6" s="30"/>
      <c r="O6" s="310"/>
      <c r="P6" s="311"/>
      <c r="Q6" s="311"/>
    </row>
    <row r="7" spans="1:17" hidden="1" x14ac:dyDescent="0.35">
      <c r="A7" s="26" t="s">
        <v>84</v>
      </c>
      <c r="B7" s="26"/>
      <c r="C7" s="26"/>
      <c r="D7" s="26"/>
      <c r="E7" s="301">
        <f>графік!F6</f>
        <v>0.5</v>
      </c>
      <c r="F7" s="302"/>
      <c r="G7" s="164"/>
      <c r="H7" s="164"/>
      <c r="I7" s="29"/>
      <c r="J7" s="29"/>
      <c r="K7" s="29"/>
      <c r="L7" s="29"/>
      <c r="M7" s="29"/>
      <c r="N7" s="29"/>
      <c r="O7" s="165"/>
      <c r="P7" s="166"/>
      <c r="Q7" s="30"/>
    </row>
    <row r="8" spans="1:17" x14ac:dyDescent="0.35">
      <c r="A8" s="26" t="s">
        <v>85</v>
      </c>
      <c r="B8" s="26"/>
      <c r="C8" s="26"/>
      <c r="D8" s="26"/>
      <c r="E8" s="314">
        <f ca="1">графік!C28</f>
        <v>44389</v>
      </c>
      <c r="F8" s="315"/>
      <c r="G8" s="163"/>
      <c r="H8" s="163"/>
      <c r="I8" s="31"/>
      <c r="J8" s="31"/>
      <c r="K8" s="31"/>
      <c r="L8" s="31"/>
      <c r="M8" s="31"/>
      <c r="N8" s="31"/>
      <c r="O8" s="321" t="s">
        <v>141</v>
      </c>
      <c r="P8" s="322"/>
      <c r="Q8" s="318">
        <f>J29</f>
        <v>1200</v>
      </c>
    </row>
    <row r="9" spans="1:17" x14ac:dyDescent="0.35">
      <c r="A9" s="26" t="s">
        <v>86</v>
      </c>
      <c r="B9" s="26"/>
      <c r="C9" s="26"/>
      <c r="D9" s="26"/>
      <c r="E9" s="314">
        <f ca="1">EDATE(E8,графік!F8)-1</f>
        <v>46214</v>
      </c>
      <c r="F9" s="316"/>
      <c r="G9" s="28"/>
      <c r="H9" s="28"/>
      <c r="I9" s="31"/>
      <c r="J9" s="31"/>
      <c r="K9" s="31"/>
      <c r="L9" s="31"/>
      <c r="M9" s="31"/>
      <c r="N9" s="31"/>
      <c r="O9" s="323"/>
      <c r="P9" s="324"/>
      <c r="Q9" s="319"/>
    </row>
    <row r="10" spans="1:17" ht="23.25" customHeight="1" x14ac:dyDescent="0.35">
      <c r="A10" s="26"/>
      <c r="B10" s="26"/>
      <c r="C10" s="26"/>
      <c r="D10" s="26"/>
      <c r="E10" s="32"/>
      <c r="F10" s="33"/>
      <c r="G10" s="34"/>
      <c r="H10" s="34"/>
      <c r="I10" s="35"/>
      <c r="J10" s="35"/>
      <c r="K10" s="35"/>
      <c r="L10" s="35"/>
      <c r="M10" s="35"/>
      <c r="N10" s="35"/>
      <c r="O10" s="325" t="s">
        <v>142</v>
      </c>
      <c r="P10" s="326"/>
      <c r="Q10" s="168">
        <f>K29</f>
        <v>0</v>
      </c>
    </row>
    <row r="11" spans="1:17" x14ac:dyDescent="0.35">
      <c r="A11" s="26" t="s">
        <v>87</v>
      </c>
      <c r="B11" s="26"/>
      <c r="C11" s="26"/>
      <c r="D11" s="26"/>
      <c r="E11" s="317">
        <f>графік!F8</f>
        <v>60</v>
      </c>
      <c r="F11" s="317"/>
      <c r="G11" s="34"/>
      <c r="H11" s="34"/>
      <c r="I11" s="35"/>
      <c r="J11" s="35"/>
      <c r="K11" s="35"/>
      <c r="L11" s="35"/>
      <c r="M11" s="35"/>
      <c r="N11" s="35"/>
      <c r="O11" s="303" t="s">
        <v>126</v>
      </c>
      <c r="P11" s="304"/>
      <c r="Q11" s="320">
        <f>L29+M29+N29+O29</f>
        <v>0</v>
      </c>
    </row>
    <row r="12" spans="1:17" x14ac:dyDescent="0.35">
      <c r="A12" s="26"/>
      <c r="B12" s="26"/>
      <c r="C12" s="26"/>
      <c r="D12" s="26"/>
      <c r="E12" s="32"/>
      <c r="F12" s="33"/>
      <c r="G12" s="36"/>
      <c r="H12" s="36"/>
      <c r="I12" s="35"/>
      <c r="J12" s="35"/>
      <c r="K12" s="35"/>
      <c r="L12" s="35"/>
      <c r="M12" s="35"/>
      <c r="N12" s="35"/>
      <c r="O12" s="305"/>
      <c r="P12" s="306"/>
      <c r="Q12" s="319"/>
    </row>
    <row r="13" spans="1:17" x14ac:dyDescent="0.35">
      <c r="A13" s="26" t="s">
        <v>88</v>
      </c>
      <c r="B13" s="26"/>
      <c r="C13" s="26"/>
      <c r="D13" s="26"/>
      <c r="E13" s="313" t="s">
        <v>89</v>
      </c>
      <c r="F13" s="313"/>
      <c r="G13" s="34"/>
      <c r="H13" s="34"/>
      <c r="I13" s="35"/>
      <c r="J13" s="35"/>
      <c r="K13" s="35"/>
      <c r="L13" s="35"/>
      <c r="M13" s="35"/>
      <c r="N13" s="35"/>
      <c r="O13" s="35"/>
      <c r="P13" s="37"/>
      <c r="Q13" s="37"/>
    </row>
    <row r="14" spans="1:17" x14ac:dyDescent="0.35">
      <c r="A14" s="26" t="s">
        <v>90</v>
      </c>
      <c r="B14" s="26"/>
      <c r="C14" s="26"/>
      <c r="D14" s="26"/>
      <c r="E14" s="313" t="s">
        <v>91</v>
      </c>
      <c r="F14" s="313"/>
      <c r="G14" s="34"/>
      <c r="H14" s="34"/>
      <c r="I14" s="29"/>
      <c r="J14" s="29"/>
      <c r="K14" s="29"/>
      <c r="L14" s="29"/>
      <c r="M14" s="29"/>
      <c r="N14" s="29"/>
      <c r="O14" s="29"/>
      <c r="P14" s="30"/>
      <c r="Q14" s="30"/>
    </row>
    <row r="15" spans="1:17" hidden="1" x14ac:dyDescent="0.35">
      <c r="A15" s="289" t="s">
        <v>92</v>
      </c>
      <c r="B15" s="289"/>
      <c r="C15" s="289"/>
      <c r="D15" s="289"/>
      <c r="E15" s="289"/>
      <c r="F15" s="289"/>
      <c r="G15" s="38"/>
      <c r="H15" s="38"/>
      <c r="I15" s="29"/>
      <c r="J15" s="29"/>
      <c r="K15" s="29"/>
      <c r="L15" s="29"/>
      <c r="M15" s="29"/>
      <c r="N15" s="29"/>
      <c r="O15" s="29"/>
      <c r="P15" s="30"/>
      <c r="Q15" s="30"/>
    </row>
    <row r="16" spans="1:17" hidden="1" x14ac:dyDescent="0.35">
      <c r="A16" s="290" t="s">
        <v>93</v>
      </c>
      <c r="B16" s="291"/>
      <c r="C16" s="39"/>
      <c r="D16" s="39"/>
      <c r="E16" s="39" t="s">
        <v>94</v>
      </c>
      <c r="F16" s="40" t="s">
        <v>95</v>
      </c>
      <c r="G16" s="40" t="s">
        <v>96</v>
      </c>
      <c r="H16" s="110"/>
      <c r="I16" s="41"/>
      <c r="J16" s="41"/>
      <c r="K16" s="41"/>
      <c r="L16" s="41"/>
      <c r="M16" s="41"/>
      <c r="N16" s="41"/>
      <c r="O16" s="41"/>
      <c r="P16" s="30"/>
      <c r="Q16" s="30"/>
    </row>
    <row r="17" spans="1:17" hidden="1" x14ac:dyDescent="0.35">
      <c r="A17" s="295" t="str">
        <f xml:space="preserve"> IF(E11&gt;60,графік!D20," ")</f>
        <v xml:space="preserve"> </v>
      </c>
      <c r="B17" s="291"/>
      <c r="C17" s="39"/>
      <c r="D17" s="39"/>
      <c r="E17" s="100" t="str">
        <f>IF(E11&gt;60,графік!F24," ")</f>
        <v xml:space="preserve"> </v>
      </c>
      <c r="F17" s="101" t="str">
        <f>IF(E11&gt;60,графік!F22," ")</f>
        <v xml:space="preserve"> </v>
      </c>
      <c r="G17" s="101" t="str">
        <f>IF(E11&gt;60,графік!F21," ")</f>
        <v xml:space="preserve"> </v>
      </c>
      <c r="H17" s="111"/>
      <c r="I17" s="41"/>
      <c r="J17" s="41"/>
      <c r="K17" s="41"/>
      <c r="L17" s="41"/>
      <c r="M17" s="41"/>
      <c r="N17" s="41"/>
      <c r="O17" s="41"/>
      <c r="P17" s="43"/>
      <c r="Q17" s="43"/>
    </row>
    <row r="18" spans="1:17" hidden="1" x14ac:dyDescent="0.35">
      <c r="A18" s="44" t="s">
        <v>102</v>
      </c>
      <c r="B18" s="42"/>
      <c r="C18" s="42"/>
      <c r="D18" s="42"/>
      <c r="E18" s="42"/>
      <c r="F18" s="42"/>
      <c r="G18" s="42"/>
      <c r="H18" s="42"/>
      <c r="I18" s="45"/>
      <c r="J18" s="45"/>
      <c r="K18" s="45"/>
      <c r="L18" s="45"/>
      <c r="M18" s="45"/>
      <c r="N18" s="45"/>
      <c r="O18" s="45"/>
      <c r="P18" s="42"/>
      <c r="Q18" s="42"/>
    </row>
    <row r="19" spans="1:17" hidden="1" x14ac:dyDescent="0.35">
      <c r="A19" s="46"/>
      <c r="B19" s="46"/>
      <c r="C19" s="46"/>
      <c r="D19" s="46"/>
      <c r="E19" s="46"/>
      <c r="F19" s="46"/>
      <c r="G19" s="42"/>
      <c r="H19" s="42"/>
      <c r="I19" s="47"/>
      <c r="J19" s="47"/>
      <c r="K19" s="47"/>
      <c r="L19" s="47"/>
      <c r="M19" s="47"/>
      <c r="N19" s="47"/>
      <c r="O19" s="47"/>
      <c r="P19" s="48"/>
      <c r="Q19" s="48"/>
    </row>
    <row r="20" spans="1:17" x14ac:dyDescent="0.35">
      <c r="A20" s="49"/>
      <c r="B20" s="50"/>
      <c r="C20" s="50"/>
      <c r="D20" s="50"/>
      <c r="E20" s="50"/>
      <c r="F20" s="50"/>
      <c r="G20" s="50"/>
      <c r="H20" s="50"/>
      <c r="I20" s="50"/>
      <c r="J20" s="50"/>
      <c r="K20" s="50"/>
      <c r="L20" s="50"/>
      <c r="M20" s="50"/>
      <c r="N20" s="50"/>
      <c r="O20" s="50"/>
      <c r="P20" s="51"/>
      <c r="Q20" s="51"/>
    </row>
    <row r="21" spans="1:17" ht="24" customHeight="1" x14ac:dyDescent="0.35">
      <c r="A21" s="292" t="s">
        <v>61</v>
      </c>
      <c r="B21" s="293" t="s">
        <v>62</v>
      </c>
      <c r="C21" s="278" t="s">
        <v>63</v>
      </c>
      <c r="D21" s="278" t="s">
        <v>64</v>
      </c>
      <c r="E21" s="294" t="s">
        <v>97</v>
      </c>
      <c r="F21" s="52" t="s">
        <v>98</v>
      </c>
      <c r="G21" s="280"/>
      <c r="H21" s="280"/>
      <c r="I21" s="280"/>
      <c r="J21" s="280"/>
      <c r="K21" s="281"/>
      <c r="L21" s="284" t="s">
        <v>148</v>
      </c>
      <c r="M21" s="285"/>
      <c r="N21" s="53"/>
      <c r="O21" s="53"/>
      <c r="P21" s="293" t="s">
        <v>65</v>
      </c>
      <c r="Q21" s="327" t="s">
        <v>99</v>
      </c>
    </row>
    <row r="22" spans="1:17" ht="72" customHeight="1" x14ac:dyDescent="0.35">
      <c r="A22" s="292"/>
      <c r="B22" s="293"/>
      <c r="C22" s="278"/>
      <c r="D22" s="278"/>
      <c r="E22" s="294"/>
      <c r="F22" s="277" t="s">
        <v>66</v>
      </c>
      <c r="G22" s="328" t="s">
        <v>67</v>
      </c>
      <c r="H22" s="277" t="s">
        <v>29</v>
      </c>
      <c r="I22" s="328" t="s">
        <v>100</v>
      </c>
      <c r="J22" s="282" t="s">
        <v>131</v>
      </c>
      <c r="K22" s="282" t="s">
        <v>142</v>
      </c>
      <c r="L22" s="286" t="s">
        <v>127</v>
      </c>
      <c r="M22" s="282" t="s">
        <v>128</v>
      </c>
      <c r="N22" s="275" t="s">
        <v>129</v>
      </c>
      <c r="O22" s="275" t="s">
        <v>130</v>
      </c>
      <c r="P22" s="307"/>
      <c r="Q22" s="327"/>
    </row>
    <row r="23" spans="1:17" x14ac:dyDescent="0.35">
      <c r="A23" s="292"/>
      <c r="B23" s="293"/>
      <c r="C23" s="278"/>
      <c r="D23" s="278"/>
      <c r="E23" s="294"/>
      <c r="F23" s="278"/>
      <c r="G23" s="293"/>
      <c r="H23" s="278"/>
      <c r="I23" s="293"/>
      <c r="J23" s="283"/>
      <c r="K23" s="283"/>
      <c r="L23" s="287"/>
      <c r="M23" s="283"/>
      <c r="N23" s="276"/>
      <c r="O23" s="276"/>
      <c r="P23" s="307"/>
      <c r="Q23" s="327"/>
    </row>
    <row r="24" spans="1:17" x14ac:dyDescent="0.35">
      <c r="A24" s="292"/>
      <c r="B24" s="293"/>
      <c r="C24" s="278"/>
      <c r="D24" s="278"/>
      <c r="E24" s="294"/>
      <c r="F24" s="278"/>
      <c r="G24" s="293"/>
      <c r="H24" s="278"/>
      <c r="I24" s="293"/>
      <c r="J24" s="283"/>
      <c r="K24" s="283"/>
      <c r="L24" s="287"/>
      <c r="M24" s="283"/>
      <c r="N24" s="276"/>
      <c r="O24" s="276"/>
      <c r="P24" s="307"/>
      <c r="Q24" s="327"/>
    </row>
    <row r="25" spans="1:17" x14ac:dyDescent="0.35">
      <c r="A25" s="292"/>
      <c r="B25" s="293"/>
      <c r="C25" s="278"/>
      <c r="D25" s="278"/>
      <c r="E25" s="294"/>
      <c r="F25" s="278"/>
      <c r="G25" s="293"/>
      <c r="H25" s="278"/>
      <c r="I25" s="293"/>
      <c r="J25" s="283"/>
      <c r="K25" s="283"/>
      <c r="L25" s="287"/>
      <c r="M25" s="283"/>
      <c r="N25" s="276"/>
      <c r="O25" s="276"/>
      <c r="P25" s="307"/>
      <c r="Q25" s="327"/>
    </row>
    <row r="26" spans="1:17" x14ac:dyDescent="0.35">
      <c r="A26" s="292"/>
      <c r="B26" s="293"/>
      <c r="C26" s="278"/>
      <c r="D26" s="278"/>
      <c r="E26" s="294"/>
      <c r="F26" s="278"/>
      <c r="G26" s="293"/>
      <c r="H26" s="278"/>
      <c r="I26" s="293"/>
      <c r="J26" s="283"/>
      <c r="K26" s="283"/>
      <c r="L26" s="287"/>
      <c r="M26" s="283"/>
      <c r="N26" s="276"/>
      <c r="O26" s="276"/>
      <c r="P26" s="307"/>
      <c r="Q26" s="327"/>
    </row>
    <row r="27" spans="1:17" x14ac:dyDescent="0.35">
      <c r="A27" s="292"/>
      <c r="B27" s="293"/>
      <c r="C27" s="278"/>
      <c r="D27" s="278"/>
      <c r="E27" s="294"/>
      <c r="F27" s="278"/>
      <c r="G27" s="293"/>
      <c r="H27" s="278"/>
      <c r="I27" s="293"/>
      <c r="J27" s="283"/>
      <c r="K27" s="283"/>
      <c r="L27" s="287"/>
      <c r="M27" s="283"/>
      <c r="N27" s="276"/>
      <c r="O27" s="276"/>
      <c r="P27" s="307"/>
      <c r="Q27" s="327"/>
    </row>
    <row r="28" spans="1:17" x14ac:dyDescent="0.35">
      <c r="A28" s="292"/>
      <c r="B28" s="293"/>
      <c r="C28" s="278"/>
      <c r="D28" s="278"/>
      <c r="E28" s="294"/>
      <c r="F28" s="278"/>
      <c r="G28" s="293"/>
      <c r="H28" s="279"/>
      <c r="I28" s="54"/>
      <c r="J28" s="158"/>
      <c r="K28" s="158"/>
      <c r="L28" s="161"/>
      <c r="M28" s="167"/>
      <c r="N28" s="162"/>
      <c r="O28" s="162"/>
      <c r="P28" s="307"/>
      <c r="Q28" s="282"/>
    </row>
    <row r="29" spans="1:17" x14ac:dyDescent="0.35">
      <c r="A29" s="56"/>
      <c r="B29" s="57">
        <f ca="1">графік!C28</f>
        <v>44389</v>
      </c>
      <c r="C29" s="58"/>
      <c r="D29" s="59">
        <f>графік!E28</f>
        <v>300000</v>
      </c>
      <c r="E29" s="60"/>
      <c r="F29" s="59"/>
      <c r="G29" s="60"/>
      <c r="H29" s="60">
        <f>графік!P9</f>
        <v>0</v>
      </c>
      <c r="I29" s="156">
        <f>графік!M28</f>
        <v>6000</v>
      </c>
      <c r="J29" s="156">
        <f>графік!N28</f>
        <v>1200</v>
      </c>
      <c r="K29" s="156">
        <f>графік!O28</f>
        <v>0</v>
      </c>
      <c r="L29" s="156">
        <f>графік!I28</f>
        <v>0</v>
      </c>
      <c r="M29" s="156">
        <f>графік!J28</f>
        <v>0</v>
      </c>
      <c r="N29" s="156">
        <f>графік!K28</f>
        <v>0</v>
      </c>
      <c r="O29" s="60">
        <f>графік!L28</f>
        <v>0</v>
      </c>
      <c r="P29" s="159">
        <f>графік!Q28</f>
        <v>0</v>
      </c>
      <c r="Q29" s="64">
        <f>графік!R28</f>
        <v>0</v>
      </c>
    </row>
    <row r="30" spans="1:17" x14ac:dyDescent="0.35">
      <c r="A30" s="56">
        <f>графік!A29</f>
        <v>1</v>
      </c>
      <c r="B30" s="62">
        <f ca="1">графік!C29</f>
        <v>44420</v>
      </c>
      <c r="C30" s="58">
        <f ca="1">графік!D29</f>
        <v>31</v>
      </c>
      <c r="D30" s="59">
        <f>графік!E29</f>
        <v>295000</v>
      </c>
      <c r="E30" s="60">
        <f ca="1">графік!H29</f>
        <v>12641.29</v>
      </c>
      <c r="F30" s="59">
        <f>графік!F29</f>
        <v>5000</v>
      </c>
      <c r="G30" s="60">
        <f ca="1">графік!G29</f>
        <v>7641.29</v>
      </c>
      <c r="H30" s="60"/>
      <c r="I30" s="157">
        <f>графік!M29</f>
        <v>0</v>
      </c>
      <c r="J30" s="157">
        <f>графік!N29</f>
        <v>0</v>
      </c>
      <c r="K30" s="63">
        <f>графік!O29</f>
        <v>0</v>
      </c>
      <c r="L30" s="157">
        <f>графік!I29</f>
        <v>0</v>
      </c>
      <c r="M30" s="157">
        <f>графік!J29</f>
        <v>0</v>
      </c>
      <c r="N30" s="157">
        <f>графік!K29</f>
        <v>0</v>
      </c>
      <c r="O30" s="63">
        <f>графік!L29</f>
        <v>0</v>
      </c>
      <c r="P30" s="160" t="str">
        <f>графік!Q29</f>
        <v/>
      </c>
      <c r="Q30" s="60" t="str">
        <f>графік!R29</f>
        <v/>
      </c>
    </row>
    <row r="31" spans="1:17" x14ac:dyDescent="0.35">
      <c r="A31" s="56">
        <f>графік!A30</f>
        <v>2</v>
      </c>
      <c r="B31" s="62">
        <f ca="1">графік!C30</f>
        <v>44451</v>
      </c>
      <c r="C31" s="58">
        <f ca="1">графік!D30</f>
        <v>31</v>
      </c>
      <c r="D31" s="59">
        <f>графік!E30</f>
        <v>290000</v>
      </c>
      <c r="E31" s="60">
        <f ca="1">графік!H30</f>
        <v>12513.93</v>
      </c>
      <c r="F31" s="59">
        <f>графік!F30</f>
        <v>5000</v>
      </c>
      <c r="G31" s="60">
        <f ca="1">графік!G30</f>
        <v>7513.93</v>
      </c>
      <c r="H31" s="60"/>
      <c r="I31" s="157">
        <f>графік!M30</f>
        <v>0</v>
      </c>
      <c r="J31" s="157">
        <f>графік!N30</f>
        <v>0</v>
      </c>
      <c r="K31" s="63">
        <f>графік!O30</f>
        <v>0</v>
      </c>
      <c r="L31" s="157">
        <f>графік!I30</f>
        <v>0</v>
      </c>
      <c r="M31" s="157">
        <f>графік!J30</f>
        <v>0</v>
      </c>
      <c r="N31" s="157">
        <f>графік!K30</f>
        <v>0</v>
      </c>
      <c r="O31" s="63">
        <f>графік!L30</f>
        <v>0</v>
      </c>
      <c r="P31" s="160" t="str">
        <f>графік!Q30</f>
        <v/>
      </c>
      <c r="Q31" s="60" t="str">
        <f t="shared" ref="Q31:Q89" ca="1" si="0">IF(B30=$E$9,E31+$I$29+$J$29+$K$29+$L$29+$M$29+$N$29+$O$29," ")</f>
        <v xml:space="preserve"> </v>
      </c>
    </row>
    <row r="32" spans="1:17" x14ac:dyDescent="0.35">
      <c r="A32" s="56">
        <f>графік!A31</f>
        <v>3</v>
      </c>
      <c r="B32" s="62">
        <f ca="1">графік!C31</f>
        <v>44481</v>
      </c>
      <c r="C32" s="58">
        <f ca="1">графік!D31</f>
        <v>30</v>
      </c>
      <c r="D32" s="59">
        <f>графік!E31</f>
        <v>285000</v>
      </c>
      <c r="E32" s="60">
        <f ca="1">графік!H31</f>
        <v>12148.3</v>
      </c>
      <c r="F32" s="59">
        <f>графік!F31</f>
        <v>5000</v>
      </c>
      <c r="G32" s="60">
        <f ca="1">графік!G31</f>
        <v>7148.3</v>
      </c>
      <c r="H32" s="60"/>
      <c r="I32" s="157">
        <f>графік!M31</f>
        <v>0</v>
      </c>
      <c r="J32" s="157">
        <f>графік!N31</f>
        <v>0</v>
      </c>
      <c r="K32" s="63">
        <f>графік!O31</f>
        <v>0</v>
      </c>
      <c r="L32" s="157">
        <f>графік!I31</f>
        <v>0</v>
      </c>
      <c r="M32" s="157">
        <f>графік!J31</f>
        <v>0</v>
      </c>
      <c r="N32" s="157">
        <f>графік!K31</f>
        <v>0</v>
      </c>
      <c r="O32" s="63">
        <f>графік!L31</f>
        <v>0</v>
      </c>
      <c r="P32" s="68" t="str">
        <f>графік!Q31</f>
        <v/>
      </c>
      <c r="Q32" s="60" t="str">
        <f t="shared" ca="1" si="0"/>
        <v xml:space="preserve"> </v>
      </c>
    </row>
    <row r="33" spans="1:17" x14ac:dyDescent="0.35">
      <c r="A33" s="56">
        <f>графік!A32</f>
        <v>4</v>
      </c>
      <c r="B33" s="62">
        <f ca="1">графік!C32</f>
        <v>44512</v>
      </c>
      <c r="C33" s="58">
        <f ca="1">графік!D32</f>
        <v>31</v>
      </c>
      <c r="D33" s="59">
        <f>графік!E32</f>
        <v>280000</v>
      </c>
      <c r="E33" s="60">
        <f ca="1">графік!H32</f>
        <v>12259.220000000001</v>
      </c>
      <c r="F33" s="59">
        <f>графік!F32</f>
        <v>5000</v>
      </c>
      <c r="G33" s="60">
        <f ca="1">графік!G32</f>
        <v>7259.22</v>
      </c>
      <c r="H33" s="60"/>
      <c r="I33" s="63" t="str">
        <f>графік!M32</f>
        <v/>
      </c>
      <c r="J33" s="156" t="str">
        <f>графік!N32</f>
        <v/>
      </c>
      <c r="K33" s="156" t="str">
        <f>графік!O32</f>
        <v/>
      </c>
      <c r="L33" s="156" t="str">
        <f>графік!I32</f>
        <v/>
      </c>
      <c r="M33" s="156" t="str">
        <f>графік!J32</f>
        <v/>
      </c>
      <c r="N33" s="156" t="str">
        <f>графік!K32</f>
        <v/>
      </c>
      <c r="O33" s="60" t="str">
        <f>графік!L32</f>
        <v/>
      </c>
      <c r="P33" s="68" t="str">
        <f>графік!Q32</f>
        <v/>
      </c>
      <c r="Q33" s="60" t="str">
        <f t="shared" ca="1" si="0"/>
        <v xml:space="preserve"> </v>
      </c>
    </row>
    <row r="34" spans="1:17" x14ac:dyDescent="0.35">
      <c r="A34" s="56">
        <f>графік!A33</f>
        <v>5</v>
      </c>
      <c r="B34" s="62">
        <f ca="1">графік!C33</f>
        <v>44542</v>
      </c>
      <c r="C34" s="58">
        <f ca="1">графік!D33</f>
        <v>30</v>
      </c>
      <c r="D34" s="59">
        <f>графік!E33</f>
        <v>275000</v>
      </c>
      <c r="E34" s="60">
        <f ca="1">графік!H33</f>
        <v>11901.810000000001</v>
      </c>
      <c r="F34" s="59">
        <f>графік!F33</f>
        <v>5000</v>
      </c>
      <c r="G34" s="60">
        <f ca="1">графік!G33</f>
        <v>6901.81</v>
      </c>
      <c r="H34" s="60"/>
      <c r="I34" s="63" t="str">
        <f>графік!M33</f>
        <v/>
      </c>
      <c r="J34" s="156" t="str">
        <f>графік!N33</f>
        <v/>
      </c>
      <c r="K34" s="156" t="str">
        <f>графік!O33</f>
        <v/>
      </c>
      <c r="L34" s="156" t="str">
        <f>графік!I33</f>
        <v/>
      </c>
      <c r="M34" s="156" t="str">
        <f>графік!J33</f>
        <v/>
      </c>
      <c r="N34" s="156" t="str">
        <f>графік!K33</f>
        <v/>
      </c>
      <c r="O34" s="60" t="str">
        <f>графік!L33</f>
        <v/>
      </c>
      <c r="P34" s="68" t="str">
        <f>графік!Q33</f>
        <v/>
      </c>
      <c r="Q34" s="60" t="str">
        <f t="shared" ca="1" si="0"/>
        <v xml:space="preserve"> </v>
      </c>
    </row>
    <row r="35" spans="1:17" x14ac:dyDescent="0.35">
      <c r="A35" s="56">
        <f>графік!A34</f>
        <v>6</v>
      </c>
      <c r="B35" s="62">
        <f ca="1">графік!C34</f>
        <v>44573</v>
      </c>
      <c r="C35" s="58">
        <f ca="1">графік!D34</f>
        <v>31</v>
      </c>
      <c r="D35" s="59">
        <f>графік!E34</f>
        <v>270000</v>
      </c>
      <c r="E35" s="60">
        <f ca="1">графік!H34</f>
        <v>12004.51</v>
      </c>
      <c r="F35" s="59">
        <f>графік!F34</f>
        <v>5000</v>
      </c>
      <c r="G35" s="60">
        <f ca="1">графік!G34</f>
        <v>7004.51</v>
      </c>
      <c r="H35" s="60"/>
      <c r="I35" s="63" t="str">
        <f>графік!M34</f>
        <v/>
      </c>
      <c r="J35" s="156" t="str">
        <f>графік!N34</f>
        <v/>
      </c>
      <c r="K35" s="156" t="str">
        <f>графік!O34</f>
        <v/>
      </c>
      <c r="L35" s="156" t="str">
        <f>графік!I34</f>
        <v/>
      </c>
      <c r="M35" s="156" t="str">
        <f>графік!J34</f>
        <v/>
      </c>
      <c r="N35" s="156" t="str">
        <f>графік!K34</f>
        <v/>
      </c>
      <c r="O35" s="60" t="str">
        <f>графік!L34</f>
        <v/>
      </c>
      <c r="P35" s="68" t="str">
        <f>графік!Q34</f>
        <v/>
      </c>
      <c r="Q35" s="60" t="str">
        <f t="shared" ca="1" si="0"/>
        <v xml:space="preserve"> </v>
      </c>
    </row>
    <row r="36" spans="1:17" x14ac:dyDescent="0.35">
      <c r="A36" s="56">
        <f>графік!A35</f>
        <v>7</v>
      </c>
      <c r="B36" s="62">
        <f ca="1">графік!C35</f>
        <v>44604</v>
      </c>
      <c r="C36" s="58">
        <f ca="1">графік!D35</f>
        <v>31</v>
      </c>
      <c r="D36" s="59">
        <f>графік!E35</f>
        <v>265000</v>
      </c>
      <c r="E36" s="60">
        <f ca="1">графік!H35</f>
        <v>11877.16</v>
      </c>
      <c r="F36" s="59">
        <f>графік!F35</f>
        <v>5000</v>
      </c>
      <c r="G36" s="60">
        <f ca="1">графік!G35</f>
        <v>6877.16</v>
      </c>
      <c r="H36" s="60"/>
      <c r="I36" s="63">
        <f>графік!M35</f>
        <v>0</v>
      </c>
      <c r="J36" s="156" t="str">
        <f>графік!N35</f>
        <v/>
      </c>
      <c r="K36" s="156" t="str">
        <f>графік!O35</f>
        <v/>
      </c>
      <c r="L36" s="156" t="str">
        <f>графік!I35</f>
        <v/>
      </c>
      <c r="M36" s="156" t="str">
        <f>графік!J35</f>
        <v/>
      </c>
      <c r="N36" s="156" t="str">
        <f>графік!K35</f>
        <v/>
      </c>
      <c r="O36" s="60" t="str">
        <f>графік!L35</f>
        <v/>
      </c>
      <c r="P36" s="68" t="str">
        <f>графік!Q35</f>
        <v/>
      </c>
      <c r="Q36" s="60" t="str">
        <f t="shared" ca="1" si="0"/>
        <v xml:space="preserve"> </v>
      </c>
    </row>
    <row r="37" spans="1:17" x14ac:dyDescent="0.35">
      <c r="A37" s="56">
        <f>графік!A36</f>
        <v>8</v>
      </c>
      <c r="B37" s="62">
        <f ca="1">графік!C36</f>
        <v>44632</v>
      </c>
      <c r="C37" s="58">
        <f ca="1">графік!D36</f>
        <v>28</v>
      </c>
      <c r="D37" s="59">
        <f>графік!E36</f>
        <v>260000</v>
      </c>
      <c r="E37" s="60">
        <f ca="1">графік!H36</f>
        <v>11096.6</v>
      </c>
      <c r="F37" s="59">
        <f>графік!F36</f>
        <v>5000</v>
      </c>
      <c r="G37" s="60">
        <f ca="1">графік!G36</f>
        <v>6096.6</v>
      </c>
      <c r="H37" s="60"/>
      <c r="I37" s="60" t="str">
        <f>графік!M36</f>
        <v/>
      </c>
      <c r="J37" s="156" t="str">
        <f>графік!N36</f>
        <v/>
      </c>
      <c r="K37" s="156" t="str">
        <f>графік!O36</f>
        <v/>
      </c>
      <c r="L37" s="156" t="str">
        <f>графік!I36</f>
        <v/>
      </c>
      <c r="M37" s="156" t="str">
        <f>графік!J36</f>
        <v/>
      </c>
      <c r="N37" s="156" t="str">
        <f>графік!K36</f>
        <v/>
      </c>
      <c r="O37" s="60" t="str">
        <f>графік!L36</f>
        <v/>
      </c>
      <c r="P37" s="68" t="str">
        <f>графік!Q36</f>
        <v/>
      </c>
      <c r="Q37" s="60" t="str">
        <f t="shared" ca="1" si="0"/>
        <v xml:space="preserve"> </v>
      </c>
    </row>
    <row r="38" spans="1:17" x14ac:dyDescent="0.35">
      <c r="A38" s="56">
        <f>графік!A37</f>
        <v>9</v>
      </c>
      <c r="B38" s="62">
        <f ca="1">графік!C37</f>
        <v>44663</v>
      </c>
      <c r="C38" s="58">
        <f ca="1">графік!D37</f>
        <v>31</v>
      </c>
      <c r="D38" s="59">
        <f>графік!E37</f>
        <v>255000</v>
      </c>
      <c r="E38" s="60">
        <f ca="1">графік!H37</f>
        <v>11622.45</v>
      </c>
      <c r="F38" s="59">
        <f>графік!F37</f>
        <v>5000</v>
      </c>
      <c r="G38" s="60">
        <f ca="1">графік!G37</f>
        <v>6622.45</v>
      </c>
      <c r="H38" s="60"/>
      <c r="I38" s="60" t="str">
        <f>графік!M37</f>
        <v/>
      </c>
      <c r="J38" s="156" t="str">
        <f>графік!N37</f>
        <v/>
      </c>
      <c r="K38" s="156" t="str">
        <f>графік!O37</f>
        <v/>
      </c>
      <c r="L38" s="156" t="str">
        <f>графік!I37</f>
        <v/>
      </c>
      <c r="M38" s="156" t="str">
        <f>графік!J37</f>
        <v/>
      </c>
      <c r="N38" s="156" t="str">
        <f>графік!K37</f>
        <v/>
      </c>
      <c r="O38" s="60" t="str">
        <f>графік!L37</f>
        <v/>
      </c>
      <c r="P38" s="68" t="str">
        <f>графік!Q37</f>
        <v/>
      </c>
      <c r="Q38" s="60" t="str">
        <f t="shared" ca="1" si="0"/>
        <v xml:space="preserve"> </v>
      </c>
    </row>
    <row r="39" spans="1:17" x14ac:dyDescent="0.35">
      <c r="A39" s="56">
        <f>графік!A38</f>
        <v>10</v>
      </c>
      <c r="B39" s="62">
        <f ca="1">графік!C38</f>
        <v>44693</v>
      </c>
      <c r="C39" s="58">
        <f ca="1">графік!D38</f>
        <v>30</v>
      </c>
      <c r="D39" s="59">
        <f>графік!E38</f>
        <v>250000</v>
      </c>
      <c r="E39" s="60">
        <f ca="1">графік!H38</f>
        <v>11285.58</v>
      </c>
      <c r="F39" s="59">
        <f>графік!F38</f>
        <v>5000</v>
      </c>
      <c r="G39" s="60">
        <f ca="1">графік!G38</f>
        <v>6285.58</v>
      </c>
      <c r="H39" s="60"/>
      <c r="I39" s="60" t="str">
        <f>графік!M38</f>
        <v/>
      </c>
      <c r="J39" s="156" t="str">
        <f>графік!N38</f>
        <v/>
      </c>
      <c r="K39" s="156" t="str">
        <f>графік!O38</f>
        <v/>
      </c>
      <c r="L39" s="156" t="str">
        <f>графік!I38</f>
        <v/>
      </c>
      <c r="M39" s="156" t="str">
        <f>графік!J38</f>
        <v/>
      </c>
      <c r="N39" s="156" t="str">
        <f>графік!K38</f>
        <v/>
      </c>
      <c r="O39" s="60" t="str">
        <f>графік!L38</f>
        <v/>
      </c>
      <c r="P39" s="68" t="str">
        <f>графік!Q38</f>
        <v/>
      </c>
      <c r="Q39" s="60" t="str">
        <f t="shared" ca="1" si="0"/>
        <v xml:space="preserve"> </v>
      </c>
    </row>
    <row r="40" spans="1:17" x14ac:dyDescent="0.35">
      <c r="A40" s="56">
        <f>графік!A39</f>
        <v>11</v>
      </c>
      <c r="B40" s="62">
        <f ca="1">графік!C39</f>
        <v>44724</v>
      </c>
      <c r="C40" s="58">
        <f ca="1">графік!D39</f>
        <v>31</v>
      </c>
      <c r="D40" s="59">
        <f>графік!E39</f>
        <v>245000</v>
      </c>
      <c r="E40" s="60">
        <f ca="1">графік!H39</f>
        <v>11367.74</v>
      </c>
      <c r="F40" s="59">
        <f>графік!F39</f>
        <v>5000</v>
      </c>
      <c r="G40" s="60">
        <f ca="1">графік!G39</f>
        <v>6367.74</v>
      </c>
      <c r="H40" s="60"/>
      <c r="I40" s="60" t="str">
        <f>графік!M39</f>
        <v/>
      </c>
      <c r="J40" s="156" t="str">
        <f>графік!N39</f>
        <v/>
      </c>
      <c r="K40" s="156" t="str">
        <f>графік!O39</f>
        <v/>
      </c>
      <c r="L40" s="156" t="str">
        <f>графік!I39</f>
        <v/>
      </c>
      <c r="M40" s="156" t="str">
        <f>графік!J39</f>
        <v/>
      </c>
      <c r="N40" s="156" t="str">
        <f>графік!K39</f>
        <v/>
      </c>
      <c r="O40" s="60" t="str">
        <f>графік!L39</f>
        <v/>
      </c>
      <c r="P40" s="68" t="str">
        <f>графік!Q39</f>
        <v/>
      </c>
      <c r="Q40" s="60" t="str">
        <f t="shared" ca="1" si="0"/>
        <v xml:space="preserve"> </v>
      </c>
    </row>
    <row r="41" spans="1:17" x14ac:dyDescent="0.35">
      <c r="A41" s="56">
        <f>графік!A40</f>
        <v>12</v>
      </c>
      <c r="B41" s="62">
        <f ca="1">графік!C40</f>
        <v>44754</v>
      </c>
      <c r="C41" s="58">
        <f ca="1">графік!D40</f>
        <v>30</v>
      </c>
      <c r="D41" s="59">
        <f>графік!E40</f>
        <v>240000</v>
      </c>
      <c r="E41" s="60">
        <f ca="1">графік!H40</f>
        <v>11039.08</v>
      </c>
      <c r="F41" s="59">
        <f>графік!F40</f>
        <v>5000</v>
      </c>
      <c r="G41" s="60">
        <f ca="1">графік!G40</f>
        <v>6039.08</v>
      </c>
      <c r="H41" s="60"/>
      <c r="I41" s="60" t="str">
        <f>графік!M40</f>
        <v/>
      </c>
      <c r="J41" s="156" t="str">
        <f>графік!N40</f>
        <v/>
      </c>
      <c r="K41" s="156" t="str">
        <f>графік!O40</f>
        <v/>
      </c>
      <c r="L41" s="156" t="str">
        <f>графік!I40</f>
        <v/>
      </c>
      <c r="M41" s="156" t="str">
        <f>графік!J40</f>
        <v/>
      </c>
      <c r="N41" s="156" t="str">
        <f>графік!K40</f>
        <v/>
      </c>
      <c r="O41" s="60" t="str">
        <f>графік!L40</f>
        <v/>
      </c>
      <c r="P41" s="68" t="str">
        <f>графік!Q40</f>
        <v/>
      </c>
      <c r="Q41" s="60" t="str">
        <f t="shared" ca="1" si="0"/>
        <v xml:space="preserve"> </v>
      </c>
    </row>
    <row r="42" spans="1:17" x14ac:dyDescent="0.35">
      <c r="A42" s="56">
        <f>графік!A41</f>
        <v>13</v>
      </c>
      <c r="B42" s="62">
        <f ca="1">графік!C41</f>
        <v>44785</v>
      </c>
      <c r="C42" s="58">
        <f ca="1">графік!D41</f>
        <v>31</v>
      </c>
      <c r="D42" s="59">
        <f>графік!E41</f>
        <v>235000</v>
      </c>
      <c r="E42" s="60">
        <f ca="1">графік!H41</f>
        <v>11113.029999999999</v>
      </c>
      <c r="F42" s="59">
        <f>графік!F41</f>
        <v>5000</v>
      </c>
      <c r="G42" s="60">
        <f ca="1">графік!G41</f>
        <v>6113.03</v>
      </c>
      <c r="H42" s="60"/>
      <c r="I42" s="60" t="str">
        <f>графік!M41</f>
        <v/>
      </c>
      <c r="J42" s="156" t="str">
        <f>графік!N41</f>
        <v/>
      </c>
      <c r="K42" s="156" t="str">
        <f>графік!O41</f>
        <v/>
      </c>
      <c r="L42" s="156" t="str">
        <f>графік!I41</f>
        <v/>
      </c>
      <c r="M42" s="156" t="str">
        <f>графік!J41</f>
        <v/>
      </c>
      <c r="N42" s="156" t="str">
        <f>графік!K41</f>
        <v/>
      </c>
      <c r="O42" s="60" t="str">
        <f>графік!L41</f>
        <v/>
      </c>
      <c r="P42" s="68" t="str">
        <f>графік!Q41</f>
        <v/>
      </c>
      <c r="Q42" s="60" t="str">
        <f t="shared" ca="1" si="0"/>
        <v xml:space="preserve"> </v>
      </c>
    </row>
    <row r="43" spans="1:17" x14ac:dyDescent="0.35">
      <c r="A43" s="56">
        <f>графік!A42</f>
        <v>14</v>
      </c>
      <c r="B43" s="62">
        <f ca="1">графік!C42</f>
        <v>44816</v>
      </c>
      <c r="C43" s="58">
        <f ca="1">графік!D42</f>
        <v>31</v>
      </c>
      <c r="D43" s="59">
        <f>графік!E42</f>
        <v>230000</v>
      </c>
      <c r="E43" s="60">
        <f ca="1">графік!H42</f>
        <v>10985.68</v>
      </c>
      <c r="F43" s="59">
        <f>графік!F42</f>
        <v>5000</v>
      </c>
      <c r="G43" s="60">
        <f ca="1">графік!G42</f>
        <v>5985.68</v>
      </c>
      <c r="H43" s="60"/>
      <c r="I43" s="60" t="str">
        <f>графік!M42</f>
        <v/>
      </c>
      <c r="J43" s="156" t="str">
        <f>графік!N42</f>
        <v/>
      </c>
      <c r="K43" s="156" t="str">
        <f>графік!O42</f>
        <v/>
      </c>
      <c r="L43" s="156" t="str">
        <f>графік!I42</f>
        <v/>
      </c>
      <c r="M43" s="156" t="str">
        <f>графік!J42</f>
        <v/>
      </c>
      <c r="N43" s="156" t="str">
        <f>графік!K42</f>
        <v/>
      </c>
      <c r="O43" s="60" t="str">
        <f>графік!L42</f>
        <v/>
      </c>
      <c r="P43" s="68" t="str">
        <f>графік!Q42</f>
        <v/>
      </c>
      <c r="Q43" s="60" t="str">
        <f t="shared" ca="1" si="0"/>
        <v xml:space="preserve"> </v>
      </c>
    </row>
    <row r="44" spans="1:17" x14ac:dyDescent="0.35">
      <c r="A44" s="56">
        <f>графік!A43</f>
        <v>15</v>
      </c>
      <c r="B44" s="62">
        <f ca="1">графік!C43</f>
        <v>44846</v>
      </c>
      <c r="C44" s="58">
        <f ca="1">графік!D43</f>
        <v>30</v>
      </c>
      <c r="D44" s="59">
        <f>графік!E43</f>
        <v>225000</v>
      </c>
      <c r="E44" s="60">
        <f ca="1">графік!H43</f>
        <v>10669.34</v>
      </c>
      <c r="F44" s="59">
        <f>графік!F43</f>
        <v>5000</v>
      </c>
      <c r="G44" s="60">
        <f ca="1">графік!G43</f>
        <v>5669.34</v>
      </c>
      <c r="H44" s="60"/>
      <c r="I44" s="60" t="str">
        <f>графік!M43</f>
        <v/>
      </c>
      <c r="J44" s="156" t="str">
        <f>графік!N43</f>
        <v/>
      </c>
      <c r="K44" s="156" t="str">
        <f>графік!O43</f>
        <v/>
      </c>
      <c r="L44" s="156" t="str">
        <f>графік!I43</f>
        <v/>
      </c>
      <c r="M44" s="156" t="str">
        <f>графік!J43</f>
        <v/>
      </c>
      <c r="N44" s="156" t="str">
        <f>графік!K43</f>
        <v/>
      </c>
      <c r="O44" s="60" t="str">
        <f>графік!L43</f>
        <v/>
      </c>
      <c r="P44" s="68" t="str">
        <f>графік!Q43</f>
        <v/>
      </c>
      <c r="Q44" s="60" t="str">
        <f t="shared" ca="1" si="0"/>
        <v xml:space="preserve"> </v>
      </c>
    </row>
    <row r="45" spans="1:17" x14ac:dyDescent="0.35">
      <c r="A45" s="56">
        <f>графік!A44</f>
        <v>16</v>
      </c>
      <c r="B45" s="62">
        <f ca="1">графік!C44</f>
        <v>44877</v>
      </c>
      <c r="C45" s="58">
        <f ca="1">графік!D44</f>
        <v>31</v>
      </c>
      <c r="D45" s="59">
        <f>графік!E44</f>
        <v>220000</v>
      </c>
      <c r="E45" s="60">
        <f ca="1">графік!H44</f>
        <v>10730.970000000001</v>
      </c>
      <c r="F45" s="59">
        <f>графік!F44</f>
        <v>5000</v>
      </c>
      <c r="G45" s="60">
        <f ca="1">графік!G44</f>
        <v>5730.97</v>
      </c>
      <c r="H45" s="60"/>
      <c r="I45" s="60" t="str">
        <f>графік!M44</f>
        <v/>
      </c>
      <c r="J45" s="156" t="str">
        <f>графік!N44</f>
        <v/>
      </c>
      <c r="K45" s="156" t="str">
        <f>графік!O44</f>
        <v/>
      </c>
      <c r="L45" s="156" t="str">
        <f>графік!I44</f>
        <v/>
      </c>
      <c r="M45" s="156" t="str">
        <f>графік!J44</f>
        <v/>
      </c>
      <c r="N45" s="156" t="str">
        <f>графік!K44</f>
        <v/>
      </c>
      <c r="O45" s="60" t="str">
        <f>графік!L44</f>
        <v/>
      </c>
      <c r="P45" s="68" t="str">
        <f>графік!Q44</f>
        <v/>
      </c>
      <c r="Q45" s="60" t="str">
        <f t="shared" ca="1" si="0"/>
        <v xml:space="preserve"> </v>
      </c>
    </row>
    <row r="46" spans="1:17" x14ac:dyDescent="0.35">
      <c r="A46" s="56">
        <f>графік!A45</f>
        <v>17</v>
      </c>
      <c r="B46" s="62">
        <f ca="1">графік!C45</f>
        <v>44907</v>
      </c>
      <c r="C46" s="58">
        <f ca="1">графік!D45</f>
        <v>30</v>
      </c>
      <c r="D46" s="59">
        <f>графік!E45</f>
        <v>215000</v>
      </c>
      <c r="E46" s="60">
        <f ca="1">графік!H45</f>
        <v>10422.85</v>
      </c>
      <c r="F46" s="59">
        <f>графік!F45</f>
        <v>5000</v>
      </c>
      <c r="G46" s="60">
        <f ca="1">графік!G45</f>
        <v>5422.85</v>
      </c>
      <c r="H46" s="60"/>
      <c r="I46" s="60" t="str">
        <f>графік!M45</f>
        <v/>
      </c>
      <c r="J46" s="156" t="str">
        <f>графік!N45</f>
        <v/>
      </c>
      <c r="K46" s="156" t="str">
        <f>графік!O45</f>
        <v/>
      </c>
      <c r="L46" s="156" t="str">
        <f>графік!I45</f>
        <v/>
      </c>
      <c r="M46" s="156" t="str">
        <f>графік!J45</f>
        <v/>
      </c>
      <c r="N46" s="156" t="str">
        <f>графік!K45</f>
        <v/>
      </c>
      <c r="O46" s="60" t="str">
        <f>графік!L45</f>
        <v/>
      </c>
      <c r="P46" s="68" t="str">
        <f>графік!Q45</f>
        <v/>
      </c>
      <c r="Q46" s="60" t="str">
        <f t="shared" ca="1" si="0"/>
        <v xml:space="preserve"> </v>
      </c>
    </row>
    <row r="47" spans="1:17" x14ac:dyDescent="0.35">
      <c r="A47" s="56">
        <f>графік!A46</f>
        <v>18</v>
      </c>
      <c r="B47" s="62">
        <f ca="1">графік!C46</f>
        <v>44938</v>
      </c>
      <c r="C47" s="58">
        <f ca="1">графік!D46</f>
        <v>31</v>
      </c>
      <c r="D47" s="59">
        <f>графік!E46</f>
        <v>210000</v>
      </c>
      <c r="E47" s="60">
        <f ca="1">графік!H46</f>
        <v>10476.26</v>
      </c>
      <c r="F47" s="59">
        <f>графік!F46</f>
        <v>5000</v>
      </c>
      <c r="G47" s="60">
        <f ca="1">графік!G46</f>
        <v>5476.26</v>
      </c>
      <c r="H47" s="60"/>
      <c r="I47" s="60" t="str">
        <f>графік!M46</f>
        <v/>
      </c>
      <c r="J47" s="156" t="str">
        <f>графік!N46</f>
        <v/>
      </c>
      <c r="K47" s="156" t="str">
        <f>графік!O46</f>
        <v/>
      </c>
      <c r="L47" s="156" t="str">
        <f>графік!I46</f>
        <v/>
      </c>
      <c r="M47" s="156" t="str">
        <f>графік!J46</f>
        <v/>
      </c>
      <c r="N47" s="156" t="str">
        <f>графік!K46</f>
        <v/>
      </c>
      <c r="O47" s="60" t="str">
        <f>графік!L46</f>
        <v/>
      </c>
      <c r="P47" s="68" t="str">
        <f>графік!Q46</f>
        <v/>
      </c>
      <c r="Q47" s="60" t="str">
        <f t="shared" ca="1" si="0"/>
        <v xml:space="preserve"> </v>
      </c>
    </row>
    <row r="48" spans="1:17" x14ac:dyDescent="0.35">
      <c r="A48" s="56">
        <f>графік!A47</f>
        <v>19</v>
      </c>
      <c r="B48" s="62">
        <f ca="1">графік!C47</f>
        <v>44969</v>
      </c>
      <c r="C48" s="58">
        <f ca="1">графік!D47</f>
        <v>31</v>
      </c>
      <c r="D48" s="59">
        <f>графік!E47</f>
        <v>205000</v>
      </c>
      <c r="E48" s="60">
        <f ca="1">графік!H47</f>
        <v>10348.9</v>
      </c>
      <c r="F48" s="59">
        <f>графік!F47</f>
        <v>5000</v>
      </c>
      <c r="G48" s="60">
        <f ca="1">графік!G47</f>
        <v>5348.9</v>
      </c>
      <c r="H48" s="60"/>
      <c r="I48" s="60" t="str">
        <f>графік!M47</f>
        <v/>
      </c>
      <c r="J48" s="156" t="str">
        <f>графік!N47</f>
        <v/>
      </c>
      <c r="K48" s="156" t="str">
        <f>графік!O47</f>
        <v/>
      </c>
      <c r="L48" s="156" t="str">
        <f>графік!I47</f>
        <v/>
      </c>
      <c r="M48" s="156" t="str">
        <f>графік!J47</f>
        <v/>
      </c>
      <c r="N48" s="156" t="str">
        <f>графік!K47</f>
        <v/>
      </c>
      <c r="O48" s="60" t="str">
        <f>графік!L47</f>
        <v/>
      </c>
      <c r="P48" s="68" t="str">
        <f>графік!Q47</f>
        <v/>
      </c>
      <c r="Q48" s="60" t="str">
        <f t="shared" ca="1" si="0"/>
        <v xml:space="preserve"> </v>
      </c>
    </row>
    <row r="49" spans="1:17" x14ac:dyDescent="0.35">
      <c r="A49" s="56">
        <f>графік!A48</f>
        <v>20</v>
      </c>
      <c r="B49" s="62">
        <f ca="1">графік!C48</f>
        <v>44997</v>
      </c>
      <c r="C49" s="58">
        <f ca="1">графік!D48</f>
        <v>28</v>
      </c>
      <c r="D49" s="59">
        <f>графік!E48</f>
        <v>200000</v>
      </c>
      <c r="E49" s="60">
        <f ca="1">графік!H48</f>
        <v>9716.24</v>
      </c>
      <c r="F49" s="59">
        <f>графік!F48</f>
        <v>5000</v>
      </c>
      <c r="G49" s="60">
        <f ca="1">графік!G48</f>
        <v>4716.24</v>
      </c>
      <c r="H49" s="60"/>
      <c r="I49" s="60" t="str">
        <f>графік!M48</f>
        <v/>
      </c>
      <c r="J49" s="156" t="str">
        <f>графік!N48</f>
        <v/>
      </c>
      <c r="K49" s="156" t="str">
        <f>графік!O48</f>
        <v/>
      </c>
      <c r="L49" s="156" t="str">
        <f>графік!I48</f>
        <v/>
      </c>
      <c r="M49" s="156" t="str">
        <f>графік!J48</f>
        <v/>
      </c>
      <c r="N49" s="156" t="str">
        <f>графік!K48</f>
        <v/>
      </c>
      <c r="O49" s="60" t="str">
        <f>графік!L48</f>
        <v/>
      </c>
      <c r="P49" s="68" t="str">
        <f>графік!Q48</f>
        <v/>
      </c>
      <c r="Q49" s="60" t="str">
        <f t="shared" ca="1" si="0"/>
        <v xml:space="preserve"> </v>
      </c>
    </row>
    <row r="50" spans="1:17" x14ac:dyDescent="0.35">
      <c r="A50" s="56">
        <f>графік!A49</f>
        <v>21</v>
      </c>
      <c r="B50" s="62">
        <f ca="1">графік!C49</f>
        <v>45028</v>
      </c>
      <c r="C50" s="58">
        <f ca="1">графік!D49</f>
        <v>31</v>
      </c>
      <c r="D50" s="59">
        <f>графік!E49</f>
        <v>195000</v>
      </c>
      <c r="E50" s="60">
        <f ca="1">графік!H49</f>
        <v>10094.189999999999</v>
      </c>
      <c r="F50" s="59">
        <f>графік!F49</f>
        <v>5000</v>
      </c>
      <c r="G50" s="60">
        <f ca="1">графік!G49</f>
        <v>5094.1899999999996</v>
      </c>
      <c r="H50" s="60"/>
      <c r="I50" s="60" t="str">
        <f>графік!M49</f>
        <v/>
      </c>
      <c r="J50" s="156" t="str">
        <f>графік!N49</f>
        <v/>
      </c>
      <c r="K50" s="156" t="str">
        <f>графік!O49</f>
        <v/>
      </c>
      <c r="L50" s="156" t="str">
        <f>графік!I49</f>
        <v/>
      </c>
      <c r="M50" s="156" t="str">
        <f>графік!J49</f>
        <v/>
      </c>
      <c r="N50" s="156" t="str">
        <f>графік!K49</f>
        <v/>
      </c>
      <c r="O50" s="60" t="str">
        <f>графік!L49</f>
        <v/>
      </c>
      <c r="P50" s="68" t="str">
        <f>графік!Q49</f>
        <v/>
      </c>
      <c r="Q50" s="60" t="str">
        <f t="shared" ca="1" si="0"/>
        <v xml:space="preserve"> </v>
      </c>
    </row>
    <row r="51" spans="1:17" x14ac:dyDescent="0.35">
      <c r="A51" s="56">
        <f>графік!A50</f>
        <v>22</v>
      </c>
      <c r="B51" s="62">
        <f ca="1">графік!C50</f>
        <v>45058</v>
      </c>
      <c r="C51" s="58">
        <f ca="1">графік!D50</f>
        <v>30</v>
      </c>
      <c r="D51" s="59">
        <f>графік!E50</f>
        <v>190000</v>
      </c>
      <c r="E51" s="60">
        <f ca="1">графік!H50</f>
        <v>9806.619999999999</v>
      </c>
      <c r="F51" s="59">
        <f>графік!F50</f>
        <v>5000</v>
      </c>
      <c r="G51" s="60">
        <f ca="1">графік!G50</f>
        <v>4806.62</v>
      </c>
      <c r="H51" s="60"/>
      <c r="I51" s="60" t="str">
        <f>графік!M50</f>
        <v/>
      </c>
      <c r="J51" s="156" t="str">
        <f>графік!N50</f>
        <v/>
      </c>
      <c r="K51" s="156" t="str">
        <f>графік!O50</f>
        <v/>
      </c>
      <c r="L51" s="156" t="str">
        <f>графік!I50</f>
        <v/>
      </c>
      <c r="M51" s="156" t="str">
        <f>графік!J50</f>
        <v/>
      </c>
      <c r="N51" s="156" t="str">
        <f>графік!K50</f>
        <v/>
      </c>
      <c r="O51" s="60" t="str">
        <f>графік!L50</f>
        <v/>
      </c>
      <c r="P51" s="68" t="str">
        <f>графік!Q50</f>
        <v/>
      </c>
      <c r="Q51" s="60" t="str">
        <f t="shared" ca="1" si="0"/>
        <v xml:space="preserve"> </v>
      </c>
    </row>
    <row r="52" spans="1:17" x14ac:dyDescent="0.35">
      <c r="A52" s="56">
        <f>графік!A51</f>
        <v>23</v>
      </c>
      <c r="B52" s="62">
        <f ca="1">графік!C51</f>
        <v>45089</v>
      </c>
      <c r="C52" s="58">
        <f ca="1">графік!D51</f>
        <v>31</v>
      </c>
      <c r="D52" s="59">
        <f>графік!E51</f>
        <v>185000</v>
      </c>
      <c r="E52" s="60">
        <f ca="1">графік!H51</f>
        <v>9839.48</v>
      </c>
      <c r="F52" s="59">
        <f>графік!F51</f>
        <v>5000</v>
      </c>
      <c r="G52" s="60">
        <f ca="1">графік!G51</f>
        <v>4839.4799999999996</v>
      </c>
      <c r="H52" s="60"/>
      <c r="I52" s="60" t="str">
        <f>графік!M51</f>
        <v/>
      </c>
      <c r="J52" s="156" t="str">
        <f>графік!N51</f>
        <v/>
      </c>
      <c r="K52" s="156" t="str">
        <f>графік!O51</f>
        <v/>
      </c>
      <c r="L52" s="156" t="str">
        <f>графік!I51</f>
        <v/>
      </c>
      <c r="M52" s="156" t="str">
        <f>графік!J51</f>
        <v/>
      </c>
      <c r="N52" s="156" t="str">
        <f>графік!K51</f>
        <v/>
      </c>
      <c r="O52" s="60" t="str">
        <f>графік!L51</f>
        <v/>
      </c>
      <c r="P52" s="68" t="str">
        <f>графік!Q51</f>
        <v/>
      </c>
      <c r="Q52" s="60" t="str">
        <f t="shared" ca="1" si="0"/>
        <v xml:space="preserve"> </v>
      </c>
    </row>
    <row r="53" spans="1:17" x14ac:dyDescent="0.35">
      <c r="A53" s="56">
        <f>графік!A52</f>
        <v>24</v>
      </c>
      <c r="B53" s="62">
        <f ca="1">графік!C52</f>
        <v>45119</v>
      </c>
      <c r="C53" s="58">
        <f ca="1">графік!D52</f>
        <v>30</v>
      </c>
      <c r="D53" s="59">
        <f>графік!E52</f>
        <v>180000</v>
      </c>
      <c r="E53" s="60">
        <f ca="1">графік!H52</f>
        <v>9560.119999999999</v>
      </c>
      <c r="F53" s="59">
        <f>графік!F52</f>
        <v>5000</v>
      </c>
      <c r="G53" s="60">
        <f ca="1">графік!G52</f>
        <v>4560.12</v>
      </c>
      <c r="H53" s="60"/>
      <c r="I53" s="60" t="str">
        <f>графік!M52</f>
        <v/>
      </c>
      <c r="J53" s="156" t="str">
        <f>графік!N52</f>
        <v/>
      </c>
      <c r="K53" s="156" t="str">
        <f>графік!O52</f>
        <v/>
      </c>
      <c r="L53" s="156" t="str">
        <f>графік!I52</f>
        <v/>
      </c>
      <c r="M53" s="156" t="str">
        <f>графік!J52</f>
        <v/>
      </c>
      <c r="N53" s="156" t="str">
        <f>графік!K52</f>
        <v/>
      </c>
      <c r="O53" s="60" t="str">
        <f>графік!L52</f>
        <v/>
      </c>
      <c r="P53" s="68" t="str">
        <f>графік!Q52</f>
        <v/>
      </c>
      <c r="Q53" s="60" t="str">
        <f t="shared" ca="1" si="0"/>
        <v xml:space="preserve"> </v>
      </c>
    </row>
    <row r="54" spans="1:17" x14ac:dyDescent="0.35">
      <c r="A54" s="56">
        <f>графік!A53</f>
        <v>25</v>
      </c>
      <c r="B54" s="62">
        <f ca="1">графік!C53</f>
        <v>45150</v>
      </c>
      <c r="C54" s="58">
        <f ca="1">графік!D53</f>
        <v>31</v>
      </c>
      <c r="D54" s="59">
        <f>графік!E53</f>
        <v>175000</v>
      </c>
      <c r="E54" s="60">
        <f ca="1">графік!H53</f>
        <v>9584.77</v>
      </c>
      <c r="F54" s="59">
        <f>графік!F53</f>
        <v>5000</v>
      </c>
      <c r="G54" s="60">
        <f ca="1">графік!G53</f>
        <v>4584.7700000000004</v>
      </c>
      <c r="H54" s="60"/>
      <c r="I54" s="60" t="str">
        <f>графік!M53</f>
        <v/>
      </c>
      <c r="J54" s="156" t="str">
        <f>графік!N53</f>
        <v/>
      </c>
      <c r="K54" s="156" t="str">
        <f>графік!O53</f>
        <v/>
      </c>
      <c r="L54" s="156" t="str">
        <f>графік!I53</f>
        <v/>
      </c>
      <c r="M54" s="156" t="str">
        <f>графік!J53</f>
        <v/>
      </c>
      <c r="N54" s="156" t="str">
        <f>графік!K53</f>
        <v/>
      </c>
      <c r="O54" s="60" t="str">
        <f>графік!L53</f>
        <v/>
      </c>
      <c r="P54" s="68" t="str">
        <f>графік!Q53</f>
        <v/>
      </c>
      <c r="Q54" s="60" t="str">
        <f t="shared" ca="1" si="0"/>
        <v xml:space="preserve"> </v>
      </c>
    </row>
    <row r="55" spans="1:17" x14ac:dyDescent="0.35">
      <c r="A55" s="56">
        <f>графік!A54</f>
        <v>26</v>
      </c>
      <c r="B55" s="62">
        <f ca="1">графік!C54</f>
        <v>45181</v>
      </c>
      <c r="C55" s="58">
        <f ca="1">графік!D54</f>
        <v>31</v>
      </c>
      <c r="D55" s="59">
        <f>графік!E54</f>
        <v>170000</v>
      </c>
      <c r="E55" s="60">
        <f ca="1">графік!H54</f>
        <v>9457.42</v>
      </c>
      <c r="F55" s="59">
        <f>графік!F54</f>
        <v>5000</v>
      </c>
      <c r="G55" s="60">
        <f ca="1">графік!G54</f>
        <v>4457.42</v>
      </c>
      <c r="H55" s="60"/>
      <c r="I55" s="60" t="str">
        <f>графік!M54</f>
        <v/>
      </c>
      <c r="J55" s="156" t="str">
        <f>графік!N54</f>
        <v/>
      </c>
      <c r="K55" s="156" t="str">
        <f>графік!O54</f>
        <v/>
      </c>
      <c r="L55" s="156" t="str">
        <f>графік!I54</f>
        <v/>
      </c>
      <c r="M55" s="156" t="str">
        <f>графік!J54</f>
        <v/>
      </c>
      <c r="N55" s="156" t="str">
        <f>графік!K54</f>
        <v/>
      </c>
      <c r="O55" s="60" t="str">
        <f>графік!L54</f>
        <v/>
      </c>
      <c r="P55" s="68" t="str">
        <f>графік!Q54</f>
        <v/>
      </c>
      <c r="Q55" s="60" t="str">
        <f t="shared" ca="1" si="0"/>
        <v xml:space="preserve"> </v>
      </c>
    </row>
    <row r="56" spans="1:17" x14ac:dyDescent="0.35">
      <c r="A56" s="56">
        <f>графік!A55</f>
        <v>27</v>
      </c>
      <c r="B56" s="62">
        <f ca="1">графік!C55</f>
        <v>45211</v>
      </c>
      <c r="C56" s="58">
        <f ca="1">графік!D55</f>
        <v>30</v>
      </c>
      <c r="D56" s="59">
        <f>графік!E55</f>
        <v>165000</v>
      </c>
      <c r="E56" s="60">
        <f ca="1">графік!H55</f>
        <v>9190.380000000001</v>
      </c>
      <c r="F56" s="59">
        <f>графік!F55</f>
        <v>5000</v>
      </c>
      <c r="G56" s="60">
        <f ca="1">графік!G55</f>
        <v>4190.38</v>
      </c>
      <c r="H56" s="60"/>
      <c r="I56" s="60" t="str">
        <f>графік!M55</f>
        <v/>
      </c>
      <c r="J56" s="156" t="str">
        <f>графік!N55</f>
        <v/>
      </c>
      <c r="K56" s="156" t="str">
        <f>графік!O55</f>
        <v/>
      </c>
      <c r="L56" s="156" t="str">
        <f>графік!I55</f>
        <v/>
      </c>
      <c r="M56" s="156" t="str">
        <f>графік!J55</f>
        <v/>
      </c>
      <c r="N56" s="156" t="str">
        <f>графік!K55</f>
        <v/>
      </c>
      <c r="O56" s="60" t="str">
        <f>графік!L55</f>
        <v/>
      </c>
      <c r="P56" s="68" t="str">
        <f>графік!Q55</f>
        <v/>
      </c>
      <c r="Q56" s="60" t="str">
        <f t="shared" ca="1" si="0"/>
        <v xml:space="preserve"> </v>
      </c>
    </row>
    <row r="57" spans="1:17" x14ac:dyDescent="0.35">
      <c r="A57" s="56">
        <f>графік!A56</f>
        <v>28</v>
      </c>
      <c r="B57" s="62">
        <f ca="1">графік!C56</f>
        <v>45242</v>
      </c>
      <c r="C57" s="58">
        <f ca="1">графік!D56</f>
        <v>31</v>
      </c>
      <c r="D57" s="59">
        <f>графік!E56</f>
        <v>160000</v>
      </c>
      <c r="E57" s="60">
        <f ca="1">графік!H56</f>
        <v>9202.7099999999991</v>
      </c>
      <c r="F57" s="59">
        <f>графік!F56</f>
        <v>5000</v>
      </c>
      <c r="G57" s="60">
        <f ca="1">графік!G56</f>
        <v>4202.71</v>
      </c>
      <c r="H57" s="60"/>
      <c r="I57" s="60" t="str">
        <f>графік!M56</f>
        <v/>
      </c>
      <c r="J57" s="156" t="str">
        <f>графік!N56</f>
        <v/>
      </c>
      <c r="K57" s="156" t="str">
        <f>графік!O56</f>
        <v/>
      </c>
      <c r="L57" s="156" t="str">
        <f>графік!I56</f>
        <v/>
      </c>
      <c r="M57" s="156" t="str">
        <f>графік!J56</f>
        <v/>
      </c>
      <c r="N57" s="156" t="str">
        <f>графік!K56</f>
        <v/>
      </c>
      <c r="O57" s="60" t="str">
        <f>графік!L56</f>
        <v/>
      </c>
      <c r="P57" s="68" t="str">
        <f>графік!Q56</f>
        <v/>
      </c>
      <c r="Q57" s="60" t="str">
        <f t="shared" ca="1" si="0"/>
        <v xml:space="preserve"> </v>
      </c>
    </row>
    <row r="58" spans="1:17" x14ac:dyDescent="0.35">
      <c r="A58" s="56">
        <f>графік!A57</f>
        <v>29</v>
      </c>
      <c r="B58" s="62">
        <f ca="1">графік!C57</f>
        <v>45272</v>
      </c>
      <c r="C58" s="58">
        <f ca="1">графік!D57</f>
        <v>30</v>
      </c>
      <c r="D58" s="59">
        <f>графік!E57</f>
        <v>155000</v>
      </c>
      <c r="E58" s="60">
        <f ca="1">графік!H57</f>
        <v>8943.89</v>
      </c>
      <c r="F58" s="59">
        <f>графік!F57</f>
        <v>5000</v>
      </c>
      <c r="G58" s="60">
        <f ca="1">графік!G57</f>
        <v>3943.89</v>
      </c>
      <c r="H58" s="60"/>
      <c r="I58" s="60" t="str">
        <f>графік!M57</f>
        <v/>
      </c>
      <c r="J58" s="156" t="str">
        <f>графік!N57</f>
        <v/>
      </c>
      <c r="K58" s="156" t="str">
        <f>графік!O57</f>
        <v/>
      </c>
      <c r="L58" s="156" t="str">
        <f>графік!I57</f>
        <v/>
      </c>
      <c r="M58" s="156" t="str">
        <f>графік!J57</f>
        <v/>
      </c>
      <c r="N58" s="156" t="str">
        <f>графік!K57</f>
        <v/>
      </c>
      <c r="O58" s="60" t="str">
        <f>графік!L57</f>
        <v/>
      </c>
      <c r="P58" s="68" t="str">
        <f>графік!Q57</f>
        <v/>
      </c>
      <c r="Q58" s="60" t="str">
        <f t="shared" ca="1" si="0"/>
        <v xml:space="preserve"> </v>
      </c>
    </row>
    <row r="59" spans="1:17" x14ac:dyDescent="0.35">
      <c r="A59" s="56">
        <f>графік!A58</f>
        <v>30</v>
      </c>
      <c r="B59" s="62">
        <f ca="1">графік!C58</f>
        <v>45303</v>
      </c>
      <c r="C59" s="58">
        <f ca="1">графік!D58</f>
        <v>31</v>
      </c>
      <c r="D59" s="59">
        <f>графік!E58</f>
        <v>150000</v>
      </c>
      <c r="E59" s="60">
        <f ca="1">графік!H58</f>
        <v>8944.17</v>
      </c>
      <c r="F59" s="59">
        <f>графік!F58</f>
        <v>5000</v>
      </c>
      <c r="G59" s="60">
        <f ca="1">графік!G58</f>
        <v>3944.17</v>
      </c>
      <c r="H59" s="60"/>
      <c r="I59" s="60" t="str">
        <f>графік!M58</f>
        <v/>
      </c>
      <c r="J59" s="156" t="str">
        <f>графік!N58</f>
        <v/>
      </c>
      <c r="K59" s="156" t="str">
        <f>графік!O58</f>
        <v/>
      </c>
      <c r="L59" s="156" t="str">
        <f>графік!I58</f>
        <v/>
      </c>
      <c r="M59" s="156" t="str">
        <f>графік!J58</f>
        <v/>
      </c>
      <c r="N59" s="156" t="str">
        <f>графік!K58</f>
        <v/>
      </c>
      <c r="O59" s="60" t="str">
        <f>графік!L58</f>
        <v/>
      </c>
      <c r="P59" s="68" t="str">
        <f>графік!Q58</f>
        <v/>
      </c>
      <c r="Q59" s="60" t="str">
        <f t="shared" ca="1" si="0"/>
        <v xml:space="preserve"> </v>
      </c>
    </row>
    <row r="60" spans="1:17" x14ac:dyDescent="0.35">
      <c r="A60" s="56">
        <f>графік!A59</f>
        <v>31</v>
      </c>
      <c r="B60" s="62">
        <f ca="1">графік!C59</f>
        <v>45334</v>
      </c>
      <c r="C60" s="58">
        <f ca="1">графік!D59</f>
        <v>31</v>
      </c>
      <c r="D60" s="59">
        <f>графік!E59</f>
        <v>145000</v>
      </c>
      <c r="E60" s="60">
        <f ca="1">графік!H59</f>
        <v>8810.2000000000007</v>
      </c>
      <c r="F60" s="59">
        <f>графік!F59</f>
        <v>5000</v>
      </c>
      <c r="G60" s="60">
        <f ca="1">графік!G59</f>
        <v>3810.2</v>
      </c>
      <c r="H60" s="60"/>
      <c r="I60" s="60" t="str">
        <f>графік!M59</f>
        <v/>
      </c>
      <c r="J60" s="156" t="str">
        <f>графік!N59</f>
        <v/>
      </c>
      <c r="K60" s="156" t="str">
        <f>графік!O59</f>
        <v/>
      </c>
      <c r="L60" s="156" t="str">
        <f>графік!I59</f>
        <v/>
      </c>
      <c r="M60" s="156" t="str">
        <f>графік!J59</f>
        <v/>
      </c>
      <c r="N60" s="156" t="str">
        <f>графік!K59</f>
        <v/>
      </c>
      <c r="O60" s="60" t="str">
        <f>графік!L59</f>
        <v/>
      </c>
      <c r="P60" s="68" t="str">
        <f>графік!Q59</f>
        <v/>
      </c>
      <c r="Q60" s="60" t="str">
        <f t="shared" ca="1" si="0"/>
        <v xml:space="preserve"> </v>
      </c>
    </row>
    <row r="61" spans="1:17" x14ac:dyDescent="0.35">
      <c r="A61" s="56">
        <f>графік!A60</f>
        <v>32</v>
      </c>
      <c r="B61" s="62">
        <f ca="1">графік!C60</f>
        <v>45363</v>
      </c>
      <c r="C61" s="58">
        <f ca="1">графік!D60</f>
        <v>29</v>
      </c>
      <c r="D61" s="59">
        <f>графік!E60</f>
        <v>140000</v>
      </c>
      <c r="E61" s="60">
        <f ca="1">графік!H60</f>
        <v>8445.57</v>
      </c>
      <c r="F61" s="59">
        <f>графік!F60</f>
        <v>5000</v>
      </c>
      <c r="G61" s="60">
        <f ca="1">графік!G60</f>
        <v>3445.57</v>
      </c>
      <c r="H61" s="60"/>
      <c r="I61" s="60" t="str">
        <f>графік!M60</f>
        <v/>
      </c>
      <c r="J61" s="156" t="str">
        <f>графік!N60</f>
        <v/>
      </c>
      <c r="K61" s="156" t="str">
        <f>графік!O60</f>
        <v/>
      </c>
      <c r="L61" s="156" t="str">
        <f>графік!I60</f>
        <v/>
      </c>
      <c r="M61" s="156" t="str">
        <f>графік!J60</f>
        <v/>
      </c>
      <c r="N61" s="156" t="str">
        <f>графік!K60</f>
        <v/>
      </c>
      <c r="O61" s="60" t="str">
        <f>графік!L60</f>
        <v/>
      </c>
      <c r="P61" s="68" t="str">
        <f>графік!Q60</f>
        <v/>
      </c>
      <c r="Q61" s="60" t="str">
        <f t="shared" ca="1" si="0"/>
        <v xml:space="preserve"> </v>
      </c>
    </row>
    <row r="62" spans="1:17" x14ac:dyDescent="0.35">
      <c r="A62" s="56">
        <f>графік!A61</f>
        <v>33</v>
      </c>
      <c r="B62" s="62">
        <f ca="1">графік!C61</f>
        <v>45394</v>
      </c>
      <c r="C62" s="58">
        <f ca="1">графік!D61</f>
        <v>31</v>
      </c>
      <c r="D62" s="59">
        <f>графік!E61</f>
        <v>135000</v>
      </c>
      <c r="E62" s="60">
        <f ca="1">графік!H61</f>
        <v>8556.19</v>
      </c>
      <c r="F62" s="59">
        <f>графік!F61</f>
        <v>5000</v>
      </c>
      <c r="G62" s="60">
        <f ca="1">графік!G61</f>
        <v>3556.19</v>
      </c>
      <c r="H62" s="60"/>
      <c r="I62" s="60" t="str">
        <f>графік!M61</f>
        <v/>
      </c>
      <c r="J62" s="156" t="str">
        <f>графік!N61</f>
        <v/>
      </c>
      <c r="K62" s="156" t="str">
        <f>графік!O61</f>
        <v/>
      </c>
      <c r="L62" s="156" t="str">
        <f>графік!I61</f>
        <v/>
      </c>
      <c r="M62" s="156" t="str">
        <f>графік!J61</f>
        <v/>
      </c>
      <c r="N62" s="156" t="str">
        <f>графік!K61</f>
        <v/>
      </c>
      <c r="O62" s="60" t="str">
        <f>графік!L61</f>
        <v/>
      </c>
      <c r="P62" s="68" t="str">
        <f>графік!Q61</f>
        <v/>
      </c>
      <c r="Q62" s="60" t="str">
        <f t="shared" ca="1" si="0"/>
        <v xml:space="preserve"> </v>
      </c>
    </row>
    <row r="63" spans="1:17" x14ac:dyDescent="0.35">
      <c r="A63" s="56">
        <f>графік!A62</f>
        <v>34</v>
      </c>
      <c r="B63" s="62">
        <f ca="1">графік!C62</f>
        <v>45424</v>
      </c>
      <c r="C63" s="58">
        <f ca="1">графік!D62</f>
        <v>30</v>
      </c>
      <c r="D63" s="59">
        <f>графік!E62</f>
        <v>130000</v>
      </c>
      <c r="E63" s="60">
        <f ca="1">графік!H62</f>
        <v>8318.57</v>
      </c>
      <c r="F63" s="59">
        <f>графік!F62</f>
        <v>5000</v>
      </c>
      <c r="G63" s="60">
        <f ca="1">графік!G62</f>
        <v>3318.57</v>
      </c>
      <c r="H63" s="60"/>
      <c r="I63" s="60" t="str">
        <f>графік!M62</f>
        <v/>
      </c>
      <c r="J63" s="156" t="str">
        <f>графік!N62</f>
        <v/>
      </c>
      <c r="K63" s="156" t="str">
        <f>графік!O62</f>
        <v/>
      </c>
      <c r="L63" s="156" t="str">
        <f>графік!I62</f>
        <v/>
      </c>
      <c r="M63" s="156" t="str">
        <f>графік!J62</f>
        <v/>
      </c>
      <c r="N63" s="156" t="str">
        <f>графік!K62</f>
        <v/>
      </c>
      <c r="O63" s="60" t="str">
        <f>графік!L62</f>
        <v/>
      </c>
      <c r="P63" s="68" t="str">
        <f>графік!Q62</f>
        <v/>
      </c>
      <c r="Q63" s="60" t="str">
        <f t="shared" ca="1" si="0"/>
        <v xml:space="preserve"> </v>
      </c>
    </row>
    <row r="64" spans="1:17" x14ac:dyDescent="0.35">
      <c r="A64" s="56">
        <f>графік!A63</f>
        <v>35</v>
      </c>
      <c r="B64" s="62">
        <f ca="1">графік!C63</f>
        <v>45455</v>
      </c>
      <c r="C64" s="58">
        <f ca="1">графік!D63</f>
        <v>31</v>
      </c>
      <c r="D64" s="59">
        <f>графік!E63</f>
        <v>125000</v>
      </c>
      <c r="E64" s="60">
        <f ca="1">графік!H63</f>
        <v>8302.18</v>
      </c>
      <c r="F64" s="59">
        <f>графік!F63</f>
        <v>5000</v>
      </c>
      <c r="G64" s="60">
        <f ca="1">графік!G63</f>
        <v>3302.18</v>
      </c>
      <c r="H64" s="60"/>
      <c r="I64" s="60" t="str">
        <f>графік!M63</f>
        <v/>
      </c>
      <c r="J64" s="156" t="str">
        <f>графік!N63</f>
        <v/>
      </c>
      <c r="K64" s="156" t="str">
        <f>графік!O63</f>
        <v/>
      </c>
      <c r="L64" s="156" t="str">
        <f>графік!I63</f>
        <v/>
      </c>
      <c r="M64" s="156" t="str">
        <f>графік!J63</f>
        <v/>
      </c>
      <c r="N64" s="156" t="str">
        <f>графік!K63</f>
        <v/>
      </c>
      <c r="O64" s="60" t="str">
        <f>графік!L63</f>
        <v/>
      </c>
      <c r="P64" s="68" t="str">
        <f>графік!Q63</f>
        <v/>
      </c>
      <c r="Q64" s="60" t="str">
        <f t="shared" ca="1" si="0"/>
        <v xml:space="preserve"> </v>
      </c>
    </row>
    <row r="65" spans="1:17" x14ac:dyDescent="0.35">
      <c r="A65" s="56">
        <f>графік!A64</f>
        <v>36</v>
      </c>
      <c r="B65" s="62">
        <f ca="1">графік!C64</f>
        <v>45485</v>
      </c>
      <c r="C65" s="58">
        <f ca="1">графік!D64</f>
        <v>30</v>
      </c>
      <c r="D65" s="59">
        <f>графік!E64</f>
        <v>120000</v>
      </c>
      <c r="E65" s="60">
        <f ca="1">графік!H64</f>
        <v>8072.75</v>
      </c>
      <c r="F65" s="59">
        <f>графік!F64</f>
        <v>5000</v>
      </c>
      <c r="G65" s="60">
        <f ca="1">графік!G64</f>
        <v>3072.75</v>
      </c>
      <c r="H65" s="60"/>
      <c r="I65" s="60" t="str">
        <f>графік!M64</f>
        <v/>
      </c>
      <c r="J65" s="156" t="str">
        <f>графік!N64</f>
        <v/>
      </c>
      <c r="K65" s="156" t="str">
        <f>графік!O64</f>
        <v/>
      </c>
      <c r="L65" s="156" t="str">
        <f>графік!I64</f>
        <v/>
      </c>
      <c r="M65" s="156" t="str">
        <f>графік!J64</f>
        <v/>
      </c>
      <c r="N65" s="156" t="str">
        <f>графік!K64</f>
        <v/>
      </c>
      <c r="O65" s="60" t="str">
        <f>графік!L64</f>
        <v/>
      </c>
      <c r="P65" s="68" t="str">
        <f>графік!Q64</f>
        <v/>
      </c>
      <c r="Q65" s="60" t="str">
        <f t="shared" ca="1" si="0"/>
        <v xml:space="preserve"> </v>
      </c>
    </row>
    <row r="66" spans="1:17" x14ac:dyDescent="0.35">
      <c r="A66" s="56">
        <f>графік!A65</f>
        <v>37</v>
      </c>
      <c r="B66" s="62">
        <f ca="1">графік!C65</f>
        <v>45516</v>
      </c>
      <c r="C66" s="58">
        <f ca="1">графік!D65</f>
        <v>31</v>
      </c>
      <c r="D66" s="59">
        <f>графік!E65</f>
        <v>115000</v>
      </c>
      <c r="E66" s="60">
        <f ca="1">графік!H65</f>
        <v>8048.16</v>
      </c>
      <c r="F66" s="59">
        <f>графік!F65</f>
        <v>5000</v>
      </c>
      <c r="G66" s="60">
        <f ca="1">графік!G65</f>
        <v>3048.16</v>
      </c>
      <c r="H66" s="60"/>
      <c r="I66" s="60" t="str">
        <f>графік!M65</f>
        <v/>
      </c>
      <c r="J66" s="156" t="str">
        <f>графік!N65</f>
        <v/>
      </c>
      <c r="K66" s="156" t="str">
        <f>графік!O65</f>
        <v/>
      </c>
      <c r="L66" s="156" t="str">
        <f>графік!I65</f>
        <v/>
      </c>
      <c r="M66" s="156" t="str">
        <f>графік!J65</f>
        <v/>
      </c>
      <c r="N66" s="156" t="str">
        <f>графік!K65</f>
        <v/>
      </c>
      <c r="O66" s="60" t="str">
        <f>графік!L65</f>
        <v/>
      </c>
      <c r="P66" s="68" t="str">
        <f>графік!Q65</f>
        <v/>
      </c>
      <c r="Q66" s="60" t="str">
        <f t="shared" ca="1" si="0"/>
        <v xml:space="preserve"> </v>
      </c>
    </row>
    <row r="67" spans="1:17" x14ac:dyDescent="0.35">
      <c r="A67" s="56">
        <f>графік!A66</f>
        <v>38</v>
      </c>
      <c r="B67" s="62">
        <f ca="1">графік!C66</f>
        <v>45547</v>
      </c>
      <c r="C67" s="58">
        <f ca="1">графік!D66</f>
        <v>31</v>
      </c>
      <c r="D67" s="59">
        <f>графік!E66</f>
        <v>110000</v>
      </c>
      <c r="E67" s="60">
        <f ca="1">графік!H66</f>
        <v>7921.16</v>
      </c>
      <c r="F67" s="59">
        <f>графік!F66</f>
        <v>5000</v>
      </c>
      <c r="G67" s="60">
        <f ca="1">графік!G66</f>
        <v>2921.16</v>
      </c>
      <c r="H67" s="60"/>
      <c r="I67" s="60" t="str">
        <f>графік!M66</f>
        <v/>
      </c>
      <c r="J67" s="156" t="str">
        <f>графік!N66</f>
        <v/>
      </c>
      <c r="K67" s="156" t="str">
        <f>графік!O66</f>
        <v/>
      </c>
      <c r="L67" s="156" t="str">
        <f>графік!I66</f>
        <v/>
      </c>
      <c r="M67" s="156" t="str">
        <f>графік!J66</f>
        <v/>
      </c>
      <c r="N67" s="156" t="str">
        <f>графік!K66</f>
        <v/>
      </c>
      <c r="O67" s="60" t="str">
        <f>графік!L66</f>
        <v/>
      </c>
      <c r="P67" s="68" t="str">
        <f>графік!Q66</f>
        <v/>
      </c>
      <c r="Q67" s="60" t="str">
        <f t="shared" ca="1" si="0"/>
        <v xml:space="preserve"> </v>
      </c>
    </row>
    <row r="68" spans="1:17" x14ac:dyDescent="0.35">
      <c r="A68" s="56">
        <f>графік!A67</f>
        <v>39</v>
      </c>
      <c r="B68" s="62">
        <f ca="1">графік!C67</f>
        <v>45577</v>
      </c>
      <c r="C68" s="58">
        <f ca="1">графік!D67</f>
        <v>30</v>
      </c>
      <c r="D68" s="59">
        <f>графік!E67</f>
        <v>105000</v>
      </c>
      <c r="E68" s="60">
        <f ca="1">графік!H67</f>
        <v>7704.02</v>
      </c>
      <c r="F68" s="59">
        <f>графік!F67</f>
        <v>5000</v>
      </c>
      <c r="G68" s="60">
        <f ca="1">графік!G67</f>
        <v>2704.02</v>
      </c>
      <c r="H68" s="60"/>
      <c r="I68" s="60" t="str">
        <f>графік!M67</f>
        <v/>
      </c>
      <c r="J68" s="156" t="str">
        <f>графік!N67</f>
        <v/>
      </c>
      <c r="K68" s="156" t="str">
        <f>графік!O67</f>
        <v/>
      </c>
      <c r="L68" s="156" t="str">
        <f>графік!I67</f>
        <v/>
      </c>
      <c r="M68" s="156" t="str">
        <f>графік!J67</f>
        <v/>
      </c>
      <c r="N68" s="156" t="str">
        <f>графік!K67</f>
        <v/>
      </c>
      <c r="O68" s="60" t="str">
        <f>графік!L67</f>
        <v/>
      </c>
      <c r="P68" s="68" t="str">
        <f>графік!Q67</f>
        <v/>
      </c>
      <c r="Q68" s="60" t="str">
        <f t="shared" ca="1" si="0"/>
        <v xml:space="preserve"> </v>
      </c>
    </row>
    <row r="69" spans="1:17" x14ac:dyDescent="0.35">
      <c r="A69" s="56">
        <f>графік!A68</f>
        <v>40</v>
      </c>
      <c r="B69" s="62">
        <f ca="1">графік!C68</f>
        <v>45608</v>
      </c>
      <c r="C69" s="58">
        <f ca="1">графік!D68</f>
        <v>31</v>
      </c>
      <c r="D69" s="59">
        <f>графік!E68</f>
        <v>100000</v>
      </c>
      <c r="E69" s="60">
        <f ca="1">графік!H68</f>
        <v>7667.1399999999994</v>
      </c>
      <c r="F69" s="59">
        <f>графік!F68</f>
        <v>5000</v>
      </c>
      <c r="G69" s="60">
        <f ca="1">графік!G68</f>
        <v>2667.14</v>
      </c>
      <c r="H69" s="60"/>
      <c r="I69" s="60" t="str">
        <f>графік!M68</f>
        <v/>
      </c>
      <c r="J69" s="156" t="str">
        <f>графік!N68</f>
        <v/>
      </c>
      <c r="K69" s="156" t="str">
        <f>графік!O68</f>
        <v/>
      </c>
      <c r="L69" s="156" t="str">
        <f>графік!I68</f>
        <v/>
      </c>
      <c r="M69" s="156" t="str">
        <f>графік!J68</f>
        <v/>
      </c>
      <c r="N69" s="156" t="str">
        <f>графік!K68</f>
        <v/>
      </c>
      <c r="O69" s="60" t="str">
        <f>графік!L68</f>
        <v/>
      </c>
      <c r="P69" s="68" t="str">
        <f>графік!Q68</f>
        <v/>
      </c>
      <c r="Q69" s="60" t="str">
        <f t="shared" ca="1" si="0"/>
        <v xml:space="preserve"> </v>
      </c>
    </row>
    <row r="70" spans="1:17" x14ac:dyDescent="0.35">
      <c r="A70" s="56">
        <f>графік!A69</f>
        <v>41</v>
      </c>
      <c r="B70" s="62">
        <f ca="1">графік!C69</f>
        <v>45638</v>
      </c>
      <c r="C70" s="58">
        <f ca="1">графік!D69</f>
        <v>30</v>
      </c>
      <c r="D70" s="59">
        <f>графік!E69</f>
        <v>95000</v>
      </c>
      <c r="E70" s="60">
        <f ca="1">графік!H69</f>
        <v>7458.2</v>
      </c>
      <c r="F70" s="59">
        <f>графік!F69</f>
        <v>5000</v>
      </c>
      <c r="G70" s="60">
        <f ca="1">графік!G69</f>
        <v>2458.1999999999998</v>
      </c>
      <c r="H70" s="60"/>
      <c r="I70" s="60" t="str">
        <f>графік!M69</f>
        <v/>
      </c>
      <c r="J70" s="156" t="str">
        <f>графік!N69</f>
        <v/>
      </c>
      <c r="K70" s="156" t="str">
        <f>графік!O69</f>
        <v/>
      </c>
      <c r="L70" s="156" t="str">
        <f>графік!I69</f>
        <v/>
      </c>
      <c r="M70" s="156" t="str">
        <f>графік!J69</f>
        <v/>
      </c>
      <c r="N70" s="156" t="str">
        <f>графік!K69</f>
        <v/>
      </c>
      <c r="O70" s="60" t="str">
        <f>графік!L69</f>
        <v/>
      </c>
      <c r="P70" s="68" t="str">
        <f>графік!Q69</f>
        <v/>
      </c>
      <c r="Q70" s="60" t="str">
        <f t="shared" ca="1" si="0"/>
        <v xml:space="preserve"> </v>
      </c>
    </row>
    <row r="71" spans="1:17" x14ac:dyDescent="0.35">
      <c r="A71" s="56">
        <f>графік!A70</f>
        <v>42</v>
      </c>
      <c r="B71" s="62">
        <f ca="1">графік!C70</f>
        <v>45669</v>
      </c>
      <c r="C71" s="58">
        <f ca="1">графік!D70</f>
        <v>31</v>
      </c>
      <c r="D71" s="59">
        <f>графік!E70</f>
        <v>90000</v>
      </c>
      <c r="E71" s="60">
        <f ca="1">графік!H70</f>
        <v>7415.48</v>
      </c>
      <c r="F71" s="59">
        <f>графік!F70</f>
        <v>5000</v>
      </c>
      <c r="G71" s="60">
        <f ca="1">графік!G70</f>
        <v>2415.48</v>
      </c>
      <c r="H71" s="60"/>
      <c r="I71" s="60" t="str">
        <f>графік!M70</f>
        <v/>
      </c>
      <c r="J71" s="156" t="str">
        <f>графік!N70</f>
        <v/>
      </c>
      <c r="K71" s="156" t="str">
        <f>графік!O70</f>
        <v/>
      </c>
      <c r="L71" s="156" t="str">
        <f>графік!I70</f>
        <v/>
      </c>
      <c r="M71" s="156" t="str">
        <f>графік!J70</f>
        <v/>
      </c>
      <c r="N71" s="156" t="str">
        <f>графік!K70</f>
        <v/>
      </c>
      <c r="O71" s="60" t="str">
        <f>графік!L70</f>
        <v/>
      </c>
      <c r="P71" s="68" t="str">
        <f>графік!Q70</f>
        <v/>
      </c>
      <c r="Q71" s="60" t="str">
        <f t="shared" ca="1" si="0"/>
        <v xml:space="preserve"> </v>
      </c>
    </row>
    <row r="72" spans="1:17" x14ac:dyDescent="0.35">
      <c r="A72" s="56">
        <f>графік!A71</f>
        <v>43</v>
      </c>
      <c r="B72" s="62">
        <f ca="1">графік!C71</f>
        <v>45700</v>
      </c>
      <c r="C72" s="58">
        <f ca="1">графік!D71</f>
        <v>31</v>
      </c>
      <c r="D72" s="59">
        <f>графік!E71</f>
        <v>85000</v>
      </c>
      <c r="E72" s="60">
        <f ca="1">графік!H71</f>
        <v>7292.3899999999994</v>
      </c>
      <c r="F72" s="59">
        <f>графік!F71</f>
        <v>5000</v>
      </c>
      <c r="G72" s="60">
        <f ca="1">графік!G71</f>
        <v>2292.39</v>
      </c>
      <c r="H72" s="60"/>
      <c r="I72" s="60" t="str">
        <f>графік!M71</f>
        <v/>
      </c>
      <c r="J72" s="156" t="str">
        <f>графік!N71</f>
        <v/>
      </c>
      <c r="K72" s="156" t="str">
        <f>графік!O71</f>
        <v/>
      </c>
      <c r="L72" s="156" t="str">
        <f>графік!I71</f>
        <v/>
      </c>
      <c r="M72" s="156" t="str">
        <f>графік!J71</f>
        <v/>
      </c>
      <c r="N72" s="156" t="str">
        <f>графік!K71</f>
        <v/>
      </c>
      <c r="O72" s="60" t="str">
        <f>графік!L71</f>
        <v/>
      </c>
      <c r="P72" s="68" t="str">
        <f>графік!Q71</f>
        <v/>
      </c>
      <c r="Q72" s="60" t="str">
        <f t="shared" ca="1" si="0"/>
        <v xml:space="preserve"> </v>
      </c>
    </row>
    <row r="73" spans="1:17" x14ac:dyDescent="0.35">
      <c r="A73" s="56">
        <f>графік!A72</f>
        <v>44</v>
      </c>
      <c r="B73" s="62">
        <f ca="1">графік!C72</f>
        <v>45728</v>
      </c>
      <c r="C73" s="58">
        <f ca="1">графік!D72</f>
        <v>28</v>
      </c>
      <c r="D73" s="59">
        <f>графік!E72</f>
        <v>80000</v>
      </c>
      <c r="E73" s="60">
        <f ca="1">графік!H72</f>
        <v>6955.51</v>
      </c>
      <c r="F73" s="59">
        <f>графік!F72</f>
        <v>5000</v>
      </c>
      <c r="G73" s="60">
        <f ca="1">графік!G72</f>
        <v>1955.51</v>
      </c>
      <c r="H73" s="60"/>
      <c r="I73" s="60" t="str">
        <f>графік!M72</f>
        <v/>
      </c>
      <c r="J73" s="156" t="str">
        <f>графік!N72</f>
        <v/>
      </c>
      <c r="K73" s="156" t="str">
        <f>графік!O72</f>
        <v/>
      </c>
      <c r="L73" s="156" t="str">
        <f>графік!I72</f>
        <v/>
      </c>
      <c r="M73" s="156" t="str">
        <f>графік!J72</f>
        <v/>
      </c>
      <c r="N73" s="156" t="str">
        <f>графік!K72</f>
        <v/>
      </c>
      <c r="O73" s="60" t="str">
        <f>графік!L72</f>
        <v/>
      </c>
      <c r="P73" s="68" t="str">
        <f>графік!Q72</f>
        <v/>
      </c>
      <c r="Q73" s="60" t="str">
        <f t="shared" ca="1" si="0"/>
        <v xml:space="preserve"> </v>
      </c>
    </row>
    <row r="74" spans="1:17" x14ac:dyDescent="0.35">
      <c r="A74" s="56">
        <f>графік!A73</f>
        <v>45</v>
      </c>
      <c r="B74" s="62">
        <f ca="1">графік!C73</f>
        <v>45759</v>
      </c>
      <c r="C74" s="58">
        <f ca="1">графік!D73</f>
        <v>31</v>
      </c>
      <c r="D74" s="59">
        <f>графік!E73</f>
        <v>75000</v>
      </c>
      <c r="E74" s="60">
        <f ca="1">графік!H73</f>
        <v>7037.68</v>
      </c>
      <c r="F74" s="59">
        <f>графік!F73</f>
        <v>5000</v>
      </c>
      <c r="G74" s="60">
        <f ca="1">графік!G73</f>
        <v>2037.68</v>
      </c>
      <c r="H74" s="60"/>
      <c r="I74" s="60" t="str">
        <f>графік!M73</f>
        <v/>
      </c>
      <c r="J74" s="156" t="str">
        <f>графік!N73</f>
        <v/>
      </c>
      <c r="K74" s="156" t="str">
        <f>графік!O73</f>
        <v/>
      </c>
      <c r="L74" s="156" t="str">
        <f>графік!I73</f>
        <v/>
      </c>
      <c r="M74" s="156" t="str">
        <f>графік!J73</f>
        <v/>
      </c>
      <c r="N74" s="156" t="str">
        <f>графік!K73</f>
        <v/>
      </c>
      <c r="O74" s="60" t="str">
        <f>графік!L73</f>
        <v/>
      </c>
      <c r="P74" s="68" t="str">
        <f>графік!Q73</f>
        <v/>
      </c>
      <c r="Q74" s="60" t="str">
        <f t="shared" ca="1" si="0"/>
        <v xml:space="preserve"> </v>
      </c>
    </row>
    <row r="75" spans="1:17" x14ac:dyDescent="0.35">
      <c r="A75" s="56">
        <f>графік!A74</f>
        <v>46</v>
      </c>
      <c r="B75" s="62">
        <f ca="1">графік!C74</f>
        <v>45789</v>
      </c>
      <c r="C75" s="58">
        <f ca="1">графік!D74</f>
        <v>30</v>
      </c>
      <c r="D75" s="59">
        <f>графік!E74</f>
        <v>70000</v>
      </c>
      <c r="E75" s="60">
        <f ca="1">графік!H74</f>
        <v>6848.7</v>
      </c>
      <c r="F75" s="59">
        <f>графік!F74</f>
        <v>5000</v>
      </c>
      <c r="G75" s="60">
        <f ca="1">графік!G74</f>
        <v>1848.7</v>
      </c>
      <c r="H75" s="60"/>
      <c r="I75" s="60" t="str">
        <f>графік!M74</f>
        <v/>
      </c>
      <c r="J75" s="156" t="str">
        <f>графік!N74</f>
        <v/>
      </c>
      <c r="K75" s="156" t="str">
        <f>графік!O74</f>
        <v/>
      </c>
      <c r="L75" s="156" t="str">
        <f>графік!I74</f>
        <v/>
      </c>
      <c r="M75" s="156" t="str">
        <f>графік!J74</f>
        <v/>
      </c>
      <c r="N75" s="156" t="str">
        <f>графік!K74</f>
        <v/>
      </c>
      <c r="O75" s="60" t="str">
        <f>графік!L74</f>
        <v/>
      </c>
      <c r="P75" s="68" t="str">
        <f>графік!Q74</f>
        <v/>
      </c>
      <c r="Q75" s="60" t="str">
        <f t="shared" ca="1" si="0"/>
        <v xml:space="preserve"> </v>
      </c>
    </row>
    <row r="76" spans="1:17" x14ac:dyDescent="0.35">
      <c r="A76" s="56">
        <f>графік!A75</f>
        <v>47</v>
      </c>
      <c r="B76" s="62">
        <f ca="1">графік!C75</f>
        <v>45820</v>
      </c>
      <c r="C76" s="58">
        <f ca="1">графік!D75</f>
        <v>31</v>
      </c>
      <c r="D76" s="59">
        <f>графік!E75</f>
        <v>65000</v>
      </c>
      <c r="E76" s="60">
        <f ca="1">графік!H75</f>
        <v>6782.97</v>
      </c>
      <c r="F76" s="59">
        <f>графік!F75</f>
        <v>5000</v>
      </c>
      <c r="G76" s="60">
        <f ca="1">графік!G75</f>
        <v>1782.97</v>
      </c>
      <c r="H76" s="60"/>
      <c r="I76" s="60" t="str">
        <f>графік!M75</f>
        <v/>
      </c>
      <c r="J76" s="156" t="str">
        <f>графік!N75</f>
        <v/>
      </c>
      <c r="K76" s="156" t="str">
        <f>графік!O75</f>
        <v/>
      </c>
      <c r="L76" s="156" t="str">
        <f>графік!I75</f>
        <v/>
      </c>
      <c r="M76" s="156" t="str">
        <f>графік!J75</f>
        <v/>
      </c>
      <c r="N76" s="156" t="str">
        <f>графік!K75</f>
        <v/>
      </c>
      <c r="O76" s="60" t="str">
        <f>графік!L75</f>
        <v/>
      </c>
      <c r="P76" s="68" t="str">
        <f>графік!Q75</f>
        <v/>
      </c>
      <c r="Q76" s="60" t="str">
        <f t="shared" ca="1" si="0"/>
        <v xml:space="preserve"> </v>
      </c>
    </row>
    <row r="77" spans="1:17" x14ac:dyDescent="0.35">
      <c r="A77" s="56">
        <f>графік!A76</f>
        <v>48</v>
      </c>
      <c r="B77" s="62">
        <f ca="1">графік!C76</f>
        <v>45850</v>
      </c>
      <c r="C77" s="58">
        <f ca="1">графік!D76</f>
        <v>30</v>
      </c>
      <c r="D77" s="59">
        <f>графік!E76</f>
        <v>60000</v>
      </c>
      <c r="E77" s="60">
        <f ca="1">графік!H76</f>
        <v>6602.21</v>
      </c>
      <c r="F77" s="59">
        <f>графік!F76</f>
        <v>5000</v>
      </c>
      <c r="G77" s="60">
        <f ca="1">графік!G76</f>
        <v>1602.21</v>
      </c>
      <c r="H77" s="60"/>
      <c r="I77" s="60" t="str">
        <f>графік!M76</f>
        <v/>
      </c>
      <c r="J77" s="156" t="str">
        <f>графік!N76</f>
        <v/>
      </c>
      <c r="K77" s="156" t="str">
        <f>графік!O76</f>
        <v/>
      </c>
      <c r="L77" s="156" t="str">
        <f>графік!I76</f>
        <v/>
      </c>
      <c r="M77" s="156" t="str">
        <f>графік!J76</f>
        <v/>
      </c>
      <c r="N77" s="156" t="str">
        <f>графік!K76</f>
        <v/>
      </c>
      <c r="O77" s="60" t="str">
        <f>графік!L76</f>
        <v/>
      </c>
      <c r="P77" s="68" t="str">
        <f>графік!Q76</f>
        <v/>
      </c>
      <c r="Q77" s="60" t="str">
        <f t="shared" ca="1" si="0"/>
        <v xml:space="preserve"> </v>
      </c>
    </row>
    <row r="78" spans="1:17" x14ac:dyDescent="0.35">
      <c r="A78" s="56">
        <f>графік!A77</f>
        <v>49</v>
      </c>
      <c r="B78" s="62">
        <f ca="1">графік!C77</f>
        <v>45881</v>
      </c>
      <c r="C78" s="58">
        <f ca="1">графік!D77</f>
        <v>31</v>
      </c>
      <c r="D78" s="59">
        <f>графік!E77</f>
        <v>55000</v>
      </c>
      <c r="E78" s="60">
        <f ca="1">графік!H77</f>
        <v>6528.26</v>
      </c>
      <c r="F78" s="59">
        <f>графік!F77</f>
        <v>5000</v>
      </c>
      <c r="G78" s="60">
        <f ca="1">графік!G77</f>
        <v>1528.26</v>
      </c>
      <c r="H78" s="60"/>
      <c r="I78" s="60" t="str">
        <f>графік!M77</f>
        <v/>
      </c>
      <c r="J78" s="156" t="str">
        <f>графік!N77</f>
        <v/>
      </c>
      <c r="K78" s="156" t="str">
        <f>графік!O77</f>
        <v/>
      </c>
      <c r="L78" s="156" t="str">
        <f>графік!I77</f>
        <v/>
      </c>
      <c r="M78" s="156" t="str">
        <f>графік!J77</f>
        <v/>
      </c>
      <c r="N78" s="156" t="str">
        <f>графік!K77</f>
        <v/>
      </c>
      <c r="O78" s="60" t="str">
        <f>графік!L77</f>
        <v/>
      </c>
      <c r="P78" s="68" t="str">
        <f>графік!Q77</f>
        <v/>
      </c>
      <c r="Q78" s="60" t="str">
        <f t="shared" ca="1" si="0"/>
        <v xml:space="preserve"> </v>
      </c>
    </row>
    <row r="79" spans="1:17" x14ac:dyDescent="0.35">
      <c r="A79" s="56">
        <f>графік!A78</f>
        <v>50</v>
      </c>
      <c r="B79" s="62">
        <f ca="1">графік!C78</f>
        <v>45912</v>
      </c>
      <c r="C79" s="58">
        <f ca="1">графік!D78</f>
        <v>31</v>
      </c>
      <c r="D79" s="59">
        <f>графік!E78</f>
        <v>50000</v>
      </c>
      <c r="E79" s="60">
        <f ca="1">графік!H78</f>
        <v>6400.9</v>
      </c>
      <c r="F79" s="59">
        <f>графік!F78</f>
        <v>5000</v>
      </c>
      <c r="G79" s="60">
        <f ca="1">графік!G78</f>
        <v>1400.9</v>
      </c>
      <c r="H79" s="60"/>
      <c r="I79" s="60" t="str">
        <f>графік!M78</f>
        <v/>
      </c>
      <c r="J79" s="156" t="str">
        <f>графік!N78</f>
        <v/>
      </c>
      <c r="K79" s="156" t="str">
        <f>графік!O78</f>
        <v/>
      </c>
      <c r="L79" s="156" t="str">
        <f>графік!I78</f>
        <v/>
      </c>
      <c r="M79" s="156" t="str">
        <f>графік!J78</f>
        <v/>
      </c>
      <c r="N79" s="156" t="str">
        <f>графік!K78</f>
        <v/>
      </c>
      <c r="O79" s="60" t="str">
        <f>графік!L78</f>
        <v/>
      </c>
      <c r="P79" s="68" t="str">
        <f>графік!Q78</f>
        <v/>
      </c>
      <c r="Q79" s="60" t="str">
        <f t="shared" ca="1" si="0"/>
        <v xml:space="preserve"> </v>
      </c>
    </row>
    <row r="80" spans="1:17" x14ac:dyDescent="0.35">
      <c r="A80" s="56">
        <f>графік!A79</f>
        <v>51</v>
      </c>
      <c r="B80" s="62">
        <f ca="1">графік!C79</f>
        <v>45942</v>
      </c>
      <c r="C80" s="58">
        <f ca="1">графік!D79</f>
        <v>30</v>
      </c>
      <c r="D80" s="59">
        <f>графік!E79</f>
        <v>45000</v>
      </c>
      <c r="E80" s="60">
        <f ca="1">графік!H79</f>
        <v>6232.47</v>
      </c>
      <c r="F80" s="59">
        <f>графік!F79</f>
        <v>5000</v>
      </c>
      <c r="G80" s="60">
        <f ca="1">графік!G79</f>
        <v>1232.47</v>
      </c>
      <c r="H80" s="60"/>
      <c r="I80" s="60" t="str">
        <f>графік!M79</f>
        <v/>
      </c>
      <c r="J80" s="156" t="str">
        <f>графік!N79</f>
        <v/>
      </c>
      <c r="K80" s="156" t="str">
        <f>графік!O79</f>
        <v/>
      </c>
      <c r="L80" s="156" t="str">
        <f>графік!I79</f>
        <v/>
      </c>
      <c r="M80" s="156" t="str">
        <f>графік!J79</f>
        <v/>
      </c>
      <c r="N80" s="156" t="str">
        <f>графік!K79</f>
        <v/>
      </c>
      <c r="O80" s="60" t="str">
        <f>графік!L79</f>
        <v/>
      </c>
      <c r="P80" s="68" t="str">
        <f>графік!Q79</f>
        <v/>
      </c>
      <c r="Q80" s="60" t="str">
        <f t="shared" ca="1" si="0"/>
        <v xml:space="preserve"> </v>
      </c>
    </row>
    <row r="81" spans="1:17" x14ac:dyDescent="0.35">
      <c r="A81" s="56">
        <f>графік!A80</f>
        <v>52</v>
      </c>
      <c r="B81" s="62">
        <f ca="1">графік!C80</f>
        <v>45973</v>
      </c>
      <c r="C81" s="58">
        <f ca="1">графік!D80</f>
        <v>31</v>
      </c>
      <c r="D81" s="59">
        <f>графік!E80</f>
        <v>40000</v>
      </c>
      <c r="E81" s="60">
        <f ca="1">графік!H80</f>
        <v>6146.1900000000005</v>
      </c>
      <c r="F81" s="59">
        <f>графік!F80</f>
        <v>5000</v>
      </c>
      <c r="G81" s="60">
        <f ca="1">графік!G80</f>
        <v>1146.19</v>
      </c>
      <c r="H81" s="60"/>
      <c r="I81" s="60" t="str">
        <f>графік!M80</f>
        <v/>
      </c>
      <c r="J81" s="156" t="str">
        <f>графік!N80</f>
        <v/>
      </c>
      <c r="K81" s="156" t="str">
        <f>графік!O80</f>
        <v/>
      </c>
      <c r="L81" s="156" t="str">
        <f>графік!I80</f>
        <v/>
      </c>
      <c r="M81" s="156" t="str">
        <f>графік!J80</f>
        <v/>
      </c>
      <c r="N81" s="156" t="str">
        <f>графік!K80</f>
        <v/>
      </c>
      <c r="O81" s="60" t="str">
        <f>графік!L80</f>
        <v/>
      </c>
      <c r="P81" s="68" t="str">
        <f>графік!Q80</f>
        <v/>
      </c>
      <c r="Q81" s="60" t="str">
        <f t="shared" ca="1" si="0"/>
        <v xml:space="preserve"> </v>
      </c>
    </row>
    <row r="82" spans="1:17" x14ac:dyDescent="0.35">
      <c r="A82" s="56">
        <f>графік!A81</f>
        <v>53</v>
      </c>
      <c r="B82" s="62">
        <f ca="1">графік!C81</f>
        <v>46003</v>
      </c>
      <c r="C82" s="58">
        <f ca="1">графік!D81</f>
        <v>30</v>
      </c>
      <c r="D82" s="59">
        <f>графік!E81</f>
        <v>35000</v>
      </c>
      <c r="E82" s="60">
        <f ca="1">графік!H81</f>
        <v>5985.97</v>
      </c>
      <c r="F82" s="59">
        <f>графік!F81</f>
        <v>5000</v>
      </c>
      <c r="G82" s="60">
        <f ca="1">графік!G81</f>
        <v>985.97</v>
      </c>
      <c r="H82" s="60"/>
      <c r="I82" s="60" t="str">
        <f>графік!M81</f>
        <v/>
      </c>
      <c r="J82" s="156" t="str">
        <f>графік!N81</f>
        <v/>
      </c>
      <c r="K82" s="156" t="str">
        <f>графік!O81</f>
        <v/>
      </c>
      <c r="L82" s="156" t="str">
        <f>графік!I81</f>
        <v/>
      </c>
      <c r="M82" s="156" t="str">
        <f>графік!J81</f>
        <v/>
      </c>
      <c r="N82" s="156" t="str">
        <f>графік!K81</f>
        <v/>
      </c>
      <c r="O82" s="60" t="str">
        <f>графік!L81</f>
        <v/>
      </c>
      <c r="P82" s="68" t="str">
        <f>графік!Q81</f>
        <v/>
      </c>
      <c r="Q82" s="60" t="str">
        <f t="shared" ca="1" si="0"/>
        <v xml:space="preserve"> </v>
      </c>
    </row>
    <row r="83" spans="1:17" x14ac:dyDescent="0.35">
      <c r="A83" s="56">
        <f>графік!A82</f>
        <v>54</v>
      </c>
      <c r="B83" s="62">
        <f ca="1">графік!C82</f>
        <v>46034</v>
      </c>
      <c r="C83" s="58">
        <f ca="1">графік!D82</f>
        <v>31</v>
      </c>
      <c r="D83" s="59">
        <f>графік!E82</f>
        <v>30000</v>
      </c>
      <c r="E83" s="60">
        <f ca="1">графік!H82</f>
        <v>5891.48</v>
      </c>
      <c r="F83" s="59">
        <f>графік!F82</f>
        <v>5000</v>
      </c>
      <c r="G83" s="60">
        <f ca="1">графік!G82</f>
        <v>891.48</v>
      </c>
      <c r="H83" s="60"/>
      <c r="I83" s="60" t="str">
        <f>графік!M82</f>
        <v/>
      </c>
      <c r="J83" s="156" t="str">
        <f>графік!N82</f>
        <v/>
      </c>
      <c r="K83" s="156" t="str">
        <f>графік!O82</f>
        <v/>
      </c>
      <c r="L83" s="156" t="str">
        <f>графік!I82</f>
        <v/>
      </c>
      <c r="M83" s="156" t="str">
        <f>графік!J82</f>
        <v/>
      </c>
      <c r="N83" s="156" t="str">
        <f>графік!K82</f>
        <v/>
      </c>
      <c r="O83" s="60" t="str">
        <f>графік!L82</f>
        <v/>
      </c>
      <c r="P83" s="68" t="str">
        <f>графік!Q82</f>
        <v/>
      </c>
      <c r="Q83" s="60" t="str">
        <f t="shared" ca="1" si="0"/>
        <v xml:space="preserve"> </v>
      </c>
    </row>
    <row r="84" spans="1:17" x14ac:dyDescent="0.35">
      <c r="A84" s="56">
        <f>графік!A83</f>
        <v>55</v>
      </c>
      <c r="B84" s="62">
        <f ca="1">графік!C83</f>
        <v>46065</v>
      </c>
      <c r="C84" s="58">
        <f ca="1">графік!D83</f>
        <v>31</v>
      </c>
      <c r="D84" s="59">
        <f>графік!E83</f>
        <v>25000</v>
      </c>
      <c r="E84" s="60">
        <f ca="1">графік!H83</f>
        <v>5764.13</v>
      </c>
      <c r="F84" s="59">
        <f>графік!F83</f>
        <v>5000</v>
      </c>
      <c r="G84" s="60">
        <f ca="1">графік!G83</f>
        <v>764.13</v>
      </c>
      <c r="H84" s="60"/>
      <c r="I84" s="60" t="str">
        <f>графік!M83</f>
        <v/>
      </c>
      <c r="J84" s="156" t="str">
        <f>графік!N83</f>
        <v/>
      </c>
      <c r="K84" s="156" t="str">
        <f>графік!O83</f>
        <v/>
      </c>
      <c r="L84" s="156" t="str">
        <f>графік!I83</f>
        <v/>
      </c>
      <c r="M84" s="156" t="str">
        <f>графік!J83</f>
        <v/>
      </c>
      <c r="N84" s="156" t="str">
        <f>графік!K83</f>
        <v/>
      </c>
      <c r="O84" s="60" t="str">
        <f>графік!L83</f>
        <v/>
      </c>
      <c r="P84" s="68" t="str">
        <f>графік!Q83</f>
        <v/>
      </c>
      <c r="Q84" s="60" t="str">
        <f t="shared" ca="1" si="0"/>
        <v xml:space="preserve"> </v>
      </c>
    </row>
    <row r="85" spans="1:17" x14ac:dyDescent="0.35">
      <c r="A85" s="56">
        <f>графік!A84</f>
        <v>56</v>
      </c>
      <c r="B85" s="62">
        <f ca="1">графік!C84</f>
        <v>46093</v>
      </c>
      <c r="C85" s="58">
        <f ca="1">графік!D84</f>
        <v>28</v>
      </c>
      <c r="D85" s="59">
        <f>графік!E84</f>
        <v>20000</v>
      </c>
      <c r="E85" s="60">
        <f ca="1">графік!H84</f>
        <v>5575.15</v>
      </c>
      <c r="F85" s="59">
        <f>графік!F84</f>
        <v>5000</v>
      </c>
      <c r="G85" s="60">
        <f ca="1">графік!G84</f>
        <v>575.15</v>
      </c>
      <c r="H85" s="60"/>
      <c r="I85" s="60" t="str">
        <f>графік!M84</f>
        <v/>
      </c>
      <c r="J85" s="156" t="str">
        <f>графік!N84</f>
        <v/>
      </c>
      <c r="K85" s="156" t="str">
        <f>графік!O84</f>
        <v/>
      </c>
      <c r="L85" s="156" t="str">
        <f>графік!I84</f>
        <v/>
      </c>
      <c r="M85" s="156" t="str">
        <f>графік!J84</f>
        <v/>
      </c>
      <c r="N85" s="156" t="str">
        <f>графік!K84</f>
        <v/>
      </c>
      <c r="O85" s="60" t="str">
        <f>графік!L84</f>
        <v/>
      </c>
      <c r="P85" s="68" t="str">
        <f>графік!Q84</f>
        <v/>
      </c>
      <c r="Q85" s="60" t="str">
        <f t="shared" ca="1" si="0"/>
        <v xml:space="preserve"> </v>
      </c>
    </row>
    <row r="86" spans="1:17" x14ac:dyDescent="0.35">
      <c r="A86" s="56">
        <f>графік!A85</f>
        <v>57</v>
      </c>
      <c r="B86" s="62">
        <f ca="1">графік!C85</f>
        <v>46124</v>
      </c>
      <c r="C86" s="58">
        <f ca="1">графік!D85</f>
        <v>31</v>
      </c>
      <c r="D86" s="59">
        <f>графік!E85</f>
        <v>15000</v>
      </c>
      <c r="E86" s="60">
        <f ca="1">графік!H85</f>
        <v>5509.42</v>
      </c>
      <c r="F86" s="59">
        <f>графік!F85</f>
        <v>5000</v>
      </c>
      <c r="G86" s="60">
        <f ca="1">графік!G85</f>
        <v>509.42</v>
      </c>
      <c r="H86" s="60"/>
      <c r="I86" s="60" t="str">
        <f>графік!M85</f>
        <v/>
      </c>
      <c r="J86" s="156" t="str">
        <f>графік!N85</f>
        <v/>
      </c>
      <c r="K86" s="156" t="str">
        <f>графік!O85</f>
        <v/>
      </c>
      <c r="L86" s="156" t="str">
        <f>графік!I85</f>
        <v/>
      </c>
      <c r="M86" s="156" t="str">
        <f>графік!J85</f>
        <v/>
      </c>
      <c r="N86" s="156" t="str">
        <f>графік!K85</f>
        <v/>
      </c>
      <c r="O86" s="60" t="str">
        <f>графік!L85</f>
        <v/>
      </c>
      <c r="P86" s="68" t="str">
        <f>графік!Q85</f>
        <v/>
      </c>
      <c r="Q86" s="60" t="str">
        <f t="shared" ca="1" si="0"/>
        <v xml:space="preserve"> </v>
      </c>
    </row>
    <row r="87" spans="1:17" x14ac:dyDescent="0.35">
      <c r="A87" s="56">
        <f>графік!A86</f>
        <v>58</v>
      </c>
      <c r="B87" s="62">
        <f ca="1">графік!C86</f>
        <v>46154</v>
      </c>
      <c r="C87" s="58">
        <f ca="1">графік!D86</f>
        <v>30</v>
      </c>
      <c r="D87" s="59">
        <f>графік!E86</f>
        <v>10000</v>
      </c>
      <c r="E87" s="60">
        <f ca="1">графік!H86</f>
        <v>5369.74</v>
      </c>
      <c r="F87" s="59">
        <f>графік!F86</f>
        <v>5000</v>
      </c>
      <c r="G87" s="60">
        <f ca="1">графік!G86</f>
        <v>369.74</v>
      </c>
      <c r="H87" s="60"/>
      <c r="I87" s="60" t="str">
        <f>графік!M86</f>
        <v/>
      </c>
      <c r="J87" s="156" t="str">
        <f>графік!N86</f>
        <v/>
      </c>
      <c r="K87" s="156" t="str">
        <f>графік!O86</f>
        <v/>
      </c>
      <c r="L87" s="156" t="str">
        <f>графік!I86</f>
        <v/>
      </c>
      <c r="M87" s="156" t="str">
        <f>графік!J86</f>
        <v/>
      </c>
      <c r="N87" s="156" t="str">
        <f>графік!K86</f>
        <v/>
      </c>
      <c r="O87" s="60" t="str">
        <f>графік!L86</f>
        <v/>
      </c>
      <c r="P87" s="68" t="str">
        <f>графік!Q86</f>
        <v/>
      </c>
      <c r="Q87" s="60" t="str">
        <f t="shared" ca="1" si="0"/>
        <v xml:space="preserve"> </v>
      </c>
    </row>
    <row r="88" spans="1:17" x14ac:dyDescent="0.35">
      <c r="A88" s="56">
        <f>графік!A87</f>
        <v>59</v>
      </c>
      <c r="B88" s="62">
        <f ca="1">графік!C87</f>
        <v>46185</v>
      </c>
      <c r="C88" s="58">
        <f ca="1">графік!D87</f>
        <v>31</v>
      </c>
      <c r="D88" s="59">
        <f>графік!E87</f>
        <v>5000</v>
      </c>
      <c r="E88" s="60">
        <f ca="1">графік!H87</f>
        <v>5254.71</v>
      </c>
      <c r="F88" s="59">
        <f>графік!F87</f>
        <v>5000</v>
      </c>
      <c r="G88" s="60">
        <f ca="1">графік!G87</f>
        <v>254.71</v>
      </c>
      <c r="H88" s="60"/>
      <c r="I88" s="60" t="str">
        <f>графік!M87</f>
        <v/>
      </c>
      <c r="J88" s="156" t="str">
        <f>графік!N87</f>
        <v/>
      </c>
      <c r="K88" s="156" t="str">
        <f>графік!O87</f>
        <v/>
      </c>
      <c r="L88" s="156" t="str">
        <f>графік!I87</f>
        <v/>
      </c>
      <c r="M88" s="156" t="str">
        <f>графік!J87</f>
        <v/>
      </c>
      <c r="N88" s="156" t="str">
        <f>графік!K87</f>
        <v/>
      </c>
      <c r="O88" s="60" t="str">
        <f>графік!L87</f>
        <v/>
      </c>
      <c r="P88" s="68" t="str">
        <f>графік!Q87</f>
        <v/>
      </c>
      <c r="Q88" s="60" t="str">
        <f t="shared" ca="1" si="0"/>
        <v xml:space="preserve"> </v>
      </c>
    </row>
    <row r="89" spans="1:17" x14ac:dyDescent="0.35">
      <c r="A89" s="56">
        <f>графік!A88</f>
        <v>60</v>
      </c>
      <c r="B89" s="62">
        <f ca="1">графік!C88</f>
        <v>46214</v>
      </c>
      <c r="C89" s="58">
        <f ca="1">графік!D88</f>
        <v>29</v>
      </c>
      <c r="D89" s="59">
        <f>графік!E88</f>
        <v>0</v>
      </c>
      <c r="E89" s="60">
        <f ca="1">графік!H88</f>
        <v>5119.1400000000003</v>
      </c>
      <c r="F89" s="59">
        <f>графік!F88</f>
        <v>5000</v>
      </c>
      <c r="G89" s="60">
        <f ca="1">графік!G88</f>
        <v>119.14</v>
      </c>
      <c r="H89" s="60"/>
      <c r="I89" s="60" t="str">
        <f>графік!M88</f>
        <v/>
      </c>
      <c r="J89" s="156" t="str">
        <f>графік!N88</f>
        <v/>
      </c>
      <c r="K89" s="156" t="str">
        <f>графік!O88</f>
        <v/>
      </c>
      <c r="L89" s="156" t="str">
        <f>графік!I88</f>
        <v/>
      </c>
      <c r="M89" s="156" t="str">
        <f>графік!J88</f>
        <v/>
      </c>
      <c r="N89" s="156" t="str">
        <f>графік!K88</f>
        <v/>
      </c>
      <c r="O89" s="60" t="str">
        <f>графік!L88</f>
        <v/>
      </c>
      <c r="P89" s="68" t="str">
        <f>графік!Q88</f>
        <v/>
      </c>
      <c r="Q89" s="60" t="str">
        <f t="shared" ca="1" si="0"/>
        <v xml:space="preserve"> </v>
      </c>
    </row>
    <row r="90" spans="1:17" x14ac:dyDescent="0.35">
      <c r="A90" s="296" t="s">
        <v>101</v>
      </c>
      <c r="B90" s="297"/>
      <c r="C90" s="58" t="str">
        <f>графік!D89</f>
        <v/>
      </c>
      <c r="D90" s="59" t="str">
        <f>графік!E89</f>
        <v/>
      </c>
      <c r="E90" s="60">
        <f ca="1">графік!H89</f>
        <v>528861.33000000007</v>
      </c>
      <c r="F90" s="59">
        <f>графік!F89</f>
        <v>300000</v>
      </c>
      <c r="G90" s="60">
        <f ca="1">графік!G89</f>
        <v>228861.33000000013</v>
      </c>
      <c r="H90" s="60"/>
      <c r="I90" s="60">
        <f>графік!M89</f>
        <v>6000</v>
      </c>
      <c r="J90" s="156">
        <f>графік!N89</f>
        <v>1200</v>
      </c>
      <c r="K90" s="156">
        <f>графік!O89</f>
        <v>0</v>
      </c>
      <c r="L90" s="156">
        <f>графік!I89</f>
        <v>0</v>
      </c>
      <c r="M90" s="156">
        <f>графік!J89</f>
        <v>0</v>
      </c>
      <c r="N90" s="156">
        <f>графік!K89</f>
        <v>0</v>
      </c>
      <c r="O90" s="60">
        <f>графік!L89</f>
        <v>0</v>
      </c>
      <c r="P90" s="68">
        <f ca="1">графік!Q89</f>
        <v>0.36461604237556455</v>
      </c>
      <c r="Q90" s="60">
        <f ca="1">IF(B89=$E$9,E90+$I$29+$J$29+$K$29+$L$29+$M$29+$N$29+$O$29," ")</f>
        <v>536061.33000000007</v>
      </c>
    </row>
    <row r="91" spans="1:17" hidden="1" x14ac:dyDescent="0.35">
      <c r="A91" s="56" t="str">
        <f>графік!A90</f>
        <v/>
      </c>
      <c r="B91" s="62" t="str">
        <f ca="1">графік!C90</f>
        <v xml:space="preserve"> </v>
      </c>
      <c r="C91" s="58" t="str">
        <f>графік!D90</f>
        <v/>
      </c>
      <c r="D91" s="59" t="str">
        <f>графік!E90</f>
        <v/>
      </c>
      <c r="E91" s="60" t="str">
        <f>графік!H90</f>
        <v/>
      </c>
      <c r="F91" s="59" t="str">
        <f>графік!F90</f>
        <v/>
      </c>
      <c r="G91" s="60" t="str">
        <f>графік!G90</f>
        <v/>
      </c>
      <c r="H91" s="60"/>
      <c r="I91" s="60" t="str">
        <f>графік!M90</f>
        <v/>
      </c>
      <c r="J91" s="60"/>
      <c r="K91" s="60"/>
      <c r="L91" s="60"/>
      <c r="M91" s="60"/>
      <c r="N91" s="60"/>
      <c r="O91" s="60"/>
      <c r="P91" s="68" t="str">
        <f>графік!Q90</f>
        <v/>
      </c>
      <c r="Q91" s="60" t="str">
        <f t="shared" ref="Q91:Q95" ca="1" si="1">IF(B90=$E$9,E91+$I$29," ")</f>
        <v xml:space="preserve"> </v>
      </c>
    </row>
    <row r="92" spans="1:17" hidden="1" x14ac:dyDescent="0.35">
      <c r="A92" s="56" t="str">
        <f>графік!A91</f>
        <v/>
      </c>
      <c r="B92" s="62" t="str">
        <f ca="1">графік!C91</f>
        <v xml:space="preserve"> </v>
      </c>
      <c r="C92" s="58" t="str">
        <f>графік!D91</f>
        <v/>
      </c>
      <c r="D92" s="59" t="str">
        <f>графік!E91</f>
        <v/>
      </c>
      <c r="E92" s="60" t="str">
        <f>графік!H91</f>
        <v/>
      </c>
      <c r="F92" s="59" t="str">
        <f>графік!F91</f>
        <v/>
      </c>
      <c r="G92" s="60" t="str">
        <f>графік!G91</f>
        <v/>
      </c>
      <c r="H92" s="60"/>
      <c r="I92" s="60" t="str">
        <f>графік!M91</f>
        <v/>
      </c>
      <c r="J92" s="60"/>
      <c r="K92" s="60"/>
      <c r="L92" s="60"/>
      <c r="M92" s="60"/>
      <c r="N92" s="60"/>
      <c r="O92" s="60"/>
      <c r="P92" s="68" t="str">
        <f>графік!Q91</f>
        <v/>
      </c>
      <c r="Q92" s="60" t="str">
        <f t="shared" ca="1" si="1"/>
        <v xml:space="preserve"> </v>
      </c>
    </row>
    <row r="93" spans="1:17" hidden="1" x14ac:dyDescent="0.35">
      <c r="A93" s="56" t="str">
        <f>графік!A92</f>
        <v/>
      </c>
      <c r="B93" s="62" t="str">
        <f ca="1">графік!C92</f>
        <v xml:space="preserve"> </v>
      </c>
      <c r="C93" s="58" t="str">
        <f>графік!D92</f>
        <v/>
      </c>
      <c r="D93" s="59" t="str">
        <f>графік!E92</f>
        <v/>
      </c>
      <c r="E93" s="60" t="str">
        <f>графік!H92</f>
        <v/>
      </c>
      <c r="F93" s="59" t="str">
        <f>графік!F92</f>
        <v/>
      </c>
      <c r="G93" s="60" t="str">
        <f>графік!G92</f>
        <v/>
      </c>
      <c r="H93" s="60"/>
      <c r="I93" s="60" t="str">
        <f>графік!M92</f>
        <v/>
      </c>
      <c r="J93" s="60"/>
      <c r="K93" s="60"/>
      <c r="L93" s="60"/>
      <c r="M93" s="60"/>
      <c r="N93" s="60"/>
      <c r="O93" s="60"/>
      <c r="P93" s="68" t="str">
        <f>графік!Q92</f>
        <v/>
      </c>
      <c r="Q93" s="60" t="str">
        <f t="shared" ca="1" si="1"/>
        <v xml:space="preserve"> </v>
      </c>
    </row>
    <row r="94" spans="1:17" hidden="1" x14ac:dyDescent="0.35">
      <c r="A94" s="56" t="str">
        <f>графік!A93</f>
        <v/>
      </c>
      <c r="B94" s="62" t="str">
        <f ca="1">графік!C93</f>
        <v xml:space="preserve"> </v>
      </c>
      <c r="C94" s="58" t="str">
        <f>графік!D93</f>
        <v/>
      </c>
      <c r="D94" s="59" t="str">
        <f>графік!E93</f>
        <v/>
      </c>
      <c r="E94" s="60" t="str">
        <f>графік!H93</f>
        <v/>
      </c>
      <c r="F94" s="59" t="str">
        <f>графік!F93</f>
        <v/>
      </c>
      <c r="G94" s="60" t="str">
        <f>графік!G93</f>
        <v/>
      </c>
      <c r="H94" s="60"/>
      <c r="I94" s="60" t="str">
        <f>графік!M93</f>
        <v/>
      </c>
      <c r="J94" s="60"/>
      <c r="K94" s="60"/>
      <c r="L94" s="60"/>
      <c r="M94" s="60"/>
      <c r="N94" s="60"/>
      <c r="O94" s="60"/>
      <c r="P94" s="68" t="str">
        <f>графік!Q93</f>
        <v/>
      </c>
      <c r="Q94" s="60" t="str">
        <f t="shared" ca="1" si="1"/>
        <v xml:space="preserve"> </v>
      </c>
    </row>
    <row r="95" spans="1:17" hidden="1" x14ac:dyDescent="0.35">
      <c r="A95" s="56" t="str">
        <f>графік!A94</f>
        <v/>
      </c>
      <c r="B95" s="62" t="str">
        <f ca="1">графік!C94</f>
        <v xml:space="preserve"> </v>
      </c>
      <c r="C95" s="58" t="str">
        <f>графік!D94</f>
        <v/>
      </c>
      <c r="D95" s="59" t="str">
        <f>графік!E94</f>
        <v/>
      </c>
      <c r="E95" s="60" t="str">
        <f>графік!H94</f>
        <v/>
      </c>
      <c r="F95" s="59" t="str">
        <f>графік!F94</f>
        <v/>
      </c>
      <c r="G95" s="60" t="str">
        <f>графік!G94</f>
        <v/>
      </c>
      <c r="H95" s="60"/>
      <c r="I95" s="60" t="str">
        <f>графік!M94</f>
        <v/>
      </c>
      <c r="J95" s="60"/>
      <c r="K95" s="60"/>
      <c r="L95" s="60"/>
      <c r="M95" s="60"/>
      <c r="N95" s="60"/>
      <c r="O95" s="60"/>
      <c r="P95" s="68" t="str">
        <f>графік!Q94</f>
        <v/>
      </c>
      <c r="Q95" s="60" t="str">
        <f t="shared" ca="1" si="1"/>
        <v xml:space="preserve"> </v>
      </c>
    </row>
    <row r="96" spans="1:17" hidden="1" x14ac:dyDescent="0.35">
      <c r="A96" s="56" t="str">
        <f>графік!A95</f>
        <v/>
      </c>
      <c r="B96" s="62" t="str">
        <f ca="1">графік!C95</f>
        <v xml:space="preserve"> </v>
      </c>
      <c r="C96" s="58" t="str">
        <f>графік!D95</f>
        <v/>
      </c>
      <c r="D96" s="59" t="str">
        <f>графік!E95</f>
        <v/>
      </c>
      <c r="E96" s="60" t="str">
        <f>графік!H95</f>
        <v/>
      </c>
      <c r="F96" s="59" t="str">
        <f>графік!F95</f>
        <v/>
      </c>
      <c r="G96" s="60" t="str">
        <f>графік!G95</f>
        <v/>
      </c>
      <c r="H96" s="60"/>
      <c r="I96" s="60" t="str">
        <f>графік!M95</f>
        <v/>
      </c>
      <c r="J96" s="60"/>
      <c r="K96" s="60"/>
      <c r="L96" s="60"/>
      <c r="M96" s="60"/>
      <c r="N96" s="60"/>
      <c r="O96" s="60"/>
      <c r="P96" s="68" t="str">
        <f>графік!Q95</f>
        <v/>
      </c>
      <c r="Q96" s="60" t="str">
        <f t="shared" ref="Q96:Q113" ca="1" si="2">IF(B95=$E$9,E96+$I$29," ")</f>
        <v xml:space="preserve"> </v>
      </c>
    </row>
    <row r="97" spans="1:17" hidden="1" x14ac:dyDescent="0.35">
      <c r="A97" s="56" t="str">
        <f>графік!A96</f>
        <v/>
      </c>
      <c r="B97" s="62" t="str">
        <f ca="1">графік!C96</f>
        <v xml:space="preserve"> </v>
      </c>
      <c r="C97" s="58" t="str">
        <f>графік!D96</f>
        <v/>
      </c>
      <c r="D97" s="59" t="str">
        <f>графік!E96</f>
        <v/>
      </c>
      <c r="E97" s="60" t="str">
        <f>графік!H96</f>
        <v/>
      </c>
      <c r="F97" s="59" t="str">
        <f>графік!F96</f>
        <v/>
      </c>
      <c r="G97" s="60" t="str">
        <f>графік!G96</f>
        <v/>
      </c>
      <c r="H97" s="60"/>
      <c r="I97" s="60" t="str">
        <f>графік!M96</f>
        <v/>
      </c>
      <c r="J97" s="60"/>
      <c r="K97" s="60"/>
      <c r="L97" s="60"/>
      <c r="M97" s="60"/>
      <c r="N97" s="60"/>
      <c r="O97" s="60"/>
      <c r="P97" s="68" t="str">
        <f>графік!Q96</f>
        <v/>
      </c>
      <c r="Q97" s="60" t="str">
        <f t="shared" ca="1" si="2"/>
        <v xml:space="preserve"> </v>
      </c>
    </row>
    <row r="98" spans="1:17" hidden="1" x14ac:dyDescent="0.35">
      <c r="A98" s="56" t="str">
        <f>графік!A97</f>
        <v/>
      </c>
      <c r="B98" s="62" t="str">
        <f ca="1">графік!C97</f>
        <v xml:space="preserve"> </v>
      </c>
      <c r="C98" s="58" t="str">
        <f>графік!D97</f>
        <v/>
      </c>
      <c r="D98" s="59" t="str">
        <f>графік!E97</f>
        <v/>
      </c>
      <c r="E98" s="60" t="str">
        <f>графік!H97</f>
        <v/>
      </c>
      <c r="F98" s="59" t="str">
        <f>графік!F97</f>
        <v/>
      </c>
      <c r="G98" s="60" t="str">
        <f>графік!G97</f>
        <v/>
      </c>
      <c r="H98" s="60"/>
      <c r="I98" s="60" t="str">
        <f>графік!M97</f>
        <v/>
      </c>
      <c r="J98" s="60"/>
      <c r="K98" s="60"/>
      <c r="L98" s="60"/>
      <c r="M98" s="60"/>
      <c r="N98" s="60"/>
      <c r="O98" s="60"/>
      <c r="P98" s="68" t="str">
        <f>графік!Q97</f>
        <v/>
      </c>
      <c r="Q98" s="60" t="str">
        <f t="shared" ca="1" si="2"/>
        <v xml:space="preserve"> </v>
      </c>
    </row>
    <row r="99" spans="1:17" hidden="1" x14ac:dyDescent="0.35">
      <c r="A99" s="56" t="str">
        <f>графік!A98</f>
        <v/>
      </c>
      <c r="B99" s="62" t="str">
        <f ca="1">графік!C98</f>
        <v xml:space="preserve"> </v>
      </c>
      <c r="C99" s="58" t="str">
        <f>графік!D98</f>
        <v/>
      </c>
      <c r="D99" s="59" t="str">
        <f>графік!E98</f>
        <v/>
      </c>
      <c r="E99" s="60" t="str">
        <f>графік!H98</f>
        <v/>
      </c>
      <c r="F99" s="59" t="str">
        <f>графік!F98</f>
        <v/>
      </c>
      <c r="G99" s="60" t="str">
        <f>графік!G98</f>
        <v/>
      </c>
      <c r="H99" s="60"/>
      <c r="I99" s="60" t="str">
        <f>графік!M98</f>
        <v/>
      </c>
      <c r="J99" s="60"/>
      <c r="K99" s="60"/>
      <c r="L99" s="60"/>
      <c r="M99" s="60"/>
      <c r="N99" s="60"/>
      <c r="O99" s="60"/>
      <c r="P99" s="68" t="str">
        <f>графік!Q98</f>
        <v/>
      </c>
      <c r="Q99" s="60" t="str">
        <f t="shared" ca="1" si="2"/>
        <v xml:space="preserve"> </v>
      </c>
    </row>
    <row r="100" spans="1:17" hidden="1" x14ac:dyDescent="0.35">
      <c r="A100" s="56" t="str">
        <f>графік!A99</f>
        <v/>
      </c>
      <c r="B100" s="62" t="str">
        <f ca="1">графік!C99</f>
        <v xml:space="preserve"> </v>
      </c>
      <c r="C100" s="58" t="str">
        <f>графік!D99</f>
        <v/>
      </c>
      <c r="D100" s="59" t="str">
        <f>графік!E99</f>
        <v/>
      </c>
      <c r="E100" s="60" t="str">
        <f>графік!H99</f>
        <v/>
      </c>
      <c r="F100" s="59" t="str">
        <f>графік!F99</f>
        <v/>
      </c>
      <c r="G100" s="60" t="str">
        <f>графік!G99</f>
        <v/>
      </c>
      <c r="H100" s="60"/>
      <c r="I100" s="60" t="str">
        <f>графік!M99</f>
        <v/>
      </c>
      <c r="J100" s="60"/>
      <c r="K100" s="60"/>
      <c r="L100" s="60"/>
      <c r="M100" s="60"/>
      <c r="N100" s="60"/>
      <c r="O100" s="60"/>
      <c r="P100" s="68" t="str">
        <f>графік!Q99</f>
        <v/>
      </c>
      <c r="Q100" s="60" t="str">
        <f t="shared" ca="1" si="2"/>
        <v xml:space="preserve"> </v>
      </c>
    </row>
    <row r="101" spans="1:17" hidden="1" x14ac:dyDescent="0.35">
      <c r="A101" s="56" t="str">
        <f>графік!A100</f>
        <v/>
      </c>
      <c r="B101" s="62" t="str">
        <f ca="1">графік!C100</f>
        <v xml:space="preserve"> </v>
      </c>
      <c r="C101" s="58" t="str">
        <f>графік!D100</f>
        <v/>
      </c>
      <c r="D101" s="59" t="str">
        <f>графік!E100</f>
        <v/>
      </c>
      <c r="E101" s="60" t="str">
        <f>графік!H100</f>
        <v/>
      </c>
      <c r="F101" s="59" t="str">
        <f>графік!F100</f>
        <v/>
      </c>
      <c r="G101" s="60" t="str">
        <f>графік!G100</f>
        <v/>
      </c>
      <c r="H101" s="60"/>
      <c r="I101" s="60" t="str">
        <f>графік!M100</f>
        <v/>
      </c>
      <c r="J101" s="60"/>
      <c r="K101" s="60"/>
      <c r="L101" s="60"/>
      <c r="M101" s="60"/>
      <c r="N101" s="60"/>
      <c r="O101" s="60"/>
      <c r="P101" s="68" t="str">
        <f>графік!Q100</f>
        <v/>
      </c>
      <c r="Q101" s="60" t="str">
        <f t="shared" ca="1" si="2"/>
        <v xml:space="preserve"> </v>
      </c>
    </row>
    <row r="102" spans="1:17" hidden="1" x14ac:dyDescent="0.35">
      <c r="A102" s="56" t="str">
        <f>графік!A101</f>
        <v/>
      </c>
      <c r="B102" s="62" t="str">
        <f ca="1">графік!C101</f>
        <v xml:space="preserve"> </v>
      </c>
      <c r="C102" s="58" t="str">
        <f>графік!D101</f>
        <v/>
      </c>
      <c r="D102" s="59" t="str">
        <f>графік!E101</f>
        <v/>
      </c>
      <c r="E102" s="60" t="str">
        <f>графік!H101</f>
        <v/>
      </c>
      <c r="F102" s="59" t="str">
        <f>графік!F101</f>
        <v/>
      </c>
      <c r="G102" s="60" t="str">
        <f>графік!G101</f>
        <v/>
      </c>
      <c r="H102" s="60"/>
      <c r="I102" s="60" t="str">
        <f>графік!M101</f>
        <v/>
      </c>
      <c r="J102" s="60"/>
      <c r="K102" s="60"/>
      <c r="L102" s="60"/>
      <c r="M102" s="60"/>
      <c r="N102" s="60"/>
      <c r="O102" s="60"/>
      <c r="P102" s="68" t="str">
        <f>графік!Q101</f>
        <v/>
      </c>
      <c r="Q102" s="60" t="str">
        <f t="shared" ca="1" si="2"/>
        <v xml:space="preserve"> </v>
      </c>
    </row>
    <row r="103" spans="1:17" hidden="1" x14ac:dyDescent="0.35">
      <c r="A103" s="56" t="str">
        <f>графік!A102</f>
        <v/>
      </c>
      <c r="B103" s="62" t="str">
        <f ca="1">графік!C102</f>
        <v xml:space="preserve"> </v>
      </c>
      <c r="C103" s="58" t="str">
        <f>графік!D102</f>
        <v/>
      </c>
      <c r="D103" s="59" t="str">
        <f>графік!E102</f>
        <v/>
      </c>
      <c r="E103" s="60" t="str">
        <f>графік!H102</f>
        <v/>
      </c>
      <c r="F103" s="59" t="str">
        <f>графік!F102</f>
        <v/>
      </c>
      <c r="G103" s="60" t="str">
        <f>графік!G102</f>
        <v/>
      </c>
      <c r="H103" s="60"/>
      <c r="I103" s="60" t="str">
        <f>графік!M102</f>
        <v/>
      </c>
      <c r="J103" s="60"/>
      <c r="K103" s="60"/>
      <c r="L103" s="60"/>
      <c r="M103" s="60"/>
      <c r="N103" s="60"/>
      <c r="O103" s="60"/>
      <c r="P103" s="68" t="str">
        <f>графік!Q102</f>
        <v/>
      </c>
      <c r="Q103" s="60" t="str">
        <f t="shared" ca="1" si="2"/>
        <v xml:space="preserve"> </v>
      </c>
    </row>
    <row r="104" spans="1:17" hidden="1" x14ac:dyDescent="0.35">
      <c r="A104" s="56" t="str">
        <f>графік!A103</f>
        <v/>
      </c>
      <c r="B104" s="62" t="str">
        <f ca="1">графік!C103</f>
        <v xml:space="preserve"> </v>
      </c>
      <c r="C104" s="58" t="str">
        <f>графік!D103</f>
        <v/>
      </c>
      <c r="D104" s="59" t="str">
        <f>графік!E103</f>
        <v/>
      </c>
      <c r="E104" s="60" t="str">
        <f>графік!H103</f>
        <v/>
      </c>
      <c r="F104" s="59" t="str">
        <f>графік!F103</f>
        <v/>
      </c>
      <c r="G104" s="60" t="str">
        <f>графік!G103</f>
        <v/>
      </c>
      <c r="H104" s="60"/>
      <c r="I104" s="60" t="str">
        <f>графік!M103</f>
        <v/>
      </c>
      <c r="J104" s="60"/>
      <c r="K104" s="60"/>
      <c r="L104" s="60"/>
      <c r="M104" s="60"/>
      <c r="N104" s="60"/>
      <c r="O104" s="60"/>
      <c r="P104" s="68" t="str">
        <f>графік!Q103</f>
        <v/>
      </c>
      <c r="Q104" s="60" t="str">
        <f t="shared" ca="1" si="2"/>
        <v xml:space="preserve"> </v>
      </c>
    </row>
    <row r="105" spans="1:17" hidden="1" x14ac:dyDescent="0.35">
      <c r="A105" s="56" t="str">
        <f>графік!A104</f>
        <v/>
      </c>
      <c r="B105" s="62" t="str">
        <f ca="1">графік!C104</f>
        <v xml:space="preserve"> </v>
      </c>
      <c r="C105" s="58" t="str">
        <f>графік!D104</f>
        <v/>
      </c>
      <c r="D105" s="59" t="str">
        <f>графік!E104</f>
        <v/>
      </c>
      <c r="E105" s="60" t="str">
        <f>графік!H104</f>
        <v/>
      </c>
      <c r="F105" s="59" t="str">
        <f>графік!F104</f>
        <v/>
      </c>
      <c r="G105" s="60" t="str">
        <f>графік!G104</f>
        <v/>
      </c>
      <c r="H105" s="60"/>
      <c r="I105" s="60" t="str">
        <f>графік!M104</f>
        <v/>
      </c>
      <c r="J105" s="60"/>
      <c r="K105" s="60"/>
      <c r="L105" s="60"/>
      <c r="M105" s="60"/>
      <c r="N105" s="60"/>
      <c r="O105" s="60"/>
      <c r="P105" s="68" t="str">
        <f>графік!Q104</f>
        <v/>
      </c>
      <c r="Q105" s="60" t="str">
        <f t="shared" ca="1" si="2"/>
        <v xml:space="preserve"> </v>
      </c>
    </row>
    <row r="106" spans="1:17" hidden="1" x14ac:dyDescent="0.35">
      <c r="A106" s="56" t="str">
        <f>графік!A105</f>
        <v/>
      </c>
      <c r="B106" s="62" t="str">
        <f ca="1">графік!C105</f>
        <v xml:space="preserve"> </v>
      </c>
      <c r="C106" s="58" t="str">
        <f>графік!D105</f>
        <v/>
      </c>
      <c r="D106" s="59" t="str">
        <f>графік!E105</f>
        <v/>
      </c>
      <c r="E106" s="60" t="str">
        <f>графік!H105</f>
        <v/>
      </c>
      <c r="F106" s="59" t="str">
        <f>графік!F105</f>
        <v/>
      </c>
      <c r="G106" s="60" t="str">
        <f>графік!G105</f>
        <v/>
      </c>
      <c r="H106" s="60"/>
      <c r="I106" s="60" t="str">
        <f>графік!M105</f>
        <v/>
      </c>
      <c r="J106" s="60"/>
      <c r="K106" s="60"/>
      <c r="L106" s="60"/>
      <c r="M106" s="60"/>
      <c r="N106" s="60"/>
      <c r="O106" s="60"/>
      <c r="P106" s="68" t="str">
        <f>графік!Q105</f>
        <v/>
      </c>
      <c r="Q106" s="60" t="str">
        <f t="shared" ca="1" si="2"/>
        <v xml:space="preserve"> </v>
      </c>
    </row>
    <row r="107" spans="1:17" hidden="1" x14ac:dyDescent="0.35">
      <c r="A107" s="56" t="str">
        <f>графік!A106</f>
        <v/>
      </c>
      <c r="B107" s="62" t="str">
        <f ca="1">графік!C106</f>
        <v xml:space="preserve"> </v>
      </c>
      <c r="C107" s="58" t="str">
        <f>графік!D106</f>
        <v/>
      </c>
      <c r="D107" s="59" t="str">
        <f>графік!E106</f>
        <v/>
      </c>
      <c r="E107" s="60" t="str">
        <f>графік!H106</f>
        <v/>
      </c>
      <c r="F107" s="59" t="str">
        <f>графік!F106</f>
        <v/>
      </c>
      <c r="G107" s="60" t="str">
        <f>графік!G106</f>
        <v/>
      </c>
      <c r="H107" s="60"/>
      <c r="I107" s="60" t="str">
        <f>графік!M106</f>
        <v/>
      </c>
      <c r="J107" s="60"/>
      <c r="K107" s="60"/>
      <c r="L107" s="60"/>
      <c r="M107" s="60"/>
      <c r="N107" s="60"/>
      <c r="O107" s="60"/>
      <c r="P107" s="68" t="str">
        <f>графік!Q106</f>
        <v/>
      </c>
      <c r="Q107" s="60" t="str">
        <f t="shared" ca="1" si="2"/>
        <v xml:space="preserve"> </v>
      </c>
    </row>
    <row r="108" spans="1:17" hidden="1" x14ac:dyDescent="0.35">
      <c r="A108" s="56" t="str">
        <f>графік!A107</f>
        <v/>
      </c>
      <c r="B108" s="62" t="str">
        <f ca="1">графік!C107</f>
        <v xml:space="preserve"> </v>
      </c>
      <c r="C108" s="58" t="str">
        <f>графік!D107</f>
        <v/>
      </c>
      <c r="D108" s="59" t="str">
        <f>графік!E107</f>
        <v/>
      </c>
      <c r="E108" s="60" t="str">
        <f>графік!H107</f>
        <v/>
      </c>
      <c r="F108" s="59" t="str">
        <f>графік!F107</f>
        <v/>
      </c>
      <c r="G108" s="60" t="str">
        <f>графік!G107</f>
        <v/>
      </c>
      <c r="H108" s="60"/>
      <c r="I108" s="60" t="str">
        <f>графік!M107</f>
        <v/>
      </c>
      <c r="J108" s="60"/>
      <c r="K108" s="60"/>
      <c r="L108" s="60"/>
      <c r="M108" s="60"/>
      <c r="N108" s="60"/>
      <c r="O108" s="60"/>
      <c r="P108" s="68" t="str">
        <f>графік!Q107</f>
        <v/>
      </c>
      <c r="Q108" s="60" t="str">
        <f t="shared" ca="1" si="2"/>
        <v xml:space="preserve"> </v>
      </c>
    </row>
    <row r="109" spans="1:17" hidden="1" x14ac:dyDescent="0.35">
      <c r="A109" s="56" t="str">
        <f>графік!A108</f>
        <v/>
      </c>
      <c r="B109" s="62" t="str">
        <f ca="1">графік!C108</f>
        <v xml:space="preserve"> </v>
      </c>
      <c r="C109" s="58" t="str">
        <f>графік!D108</f>
        <v/>
      </c>
      <c r="D109" s="59" t="str">
        <f>графік!E108</f>
        <v/>
      </c>
      <c r="E109" s="60" t="str">
        <f>графік!H108</f>
        <v/>
      </c>
      <c r="F109" s="59" t="str">
        <f>графік!F108</f>
        <v/>
      </c>
      <c r="G109" s="60" t="str">
        <f>графік!G108</f>
        <v/>
      </c>
      <c r="H109" s="60"/>
      <c r="I109" s="60" t="str">
        <f>графік!M108</f>
        <v/>
      </c>
      <c r="J109" s="60"/>
      <c r="K109" s="60"/>
      <c r="L109" s="60"/>
      <c r="M109" s="60"/>
      <c r="N109" s="60"/>
      <c r="O109" s="60"/>
      <c r="P109" s="68" t="str">
        <f>графік!Q108</f>
        <v/>
      </c>
      <c r="Q109" s="60" t="str">
        <f t="shared" ca="1" si="2"/>
        <v xml:space="preserve"> </v>
      </c>
    </row>
    <row r="110" spans="1:17" hidden="1" x14ac:dyDescent="0.35">
      <c r="A110" s="56" t="str">
        <f>графік!A109</f>
        <v/>
      </c>
      <c r="B110" s="62" t="str">
        <f ca="1">графік!C109</f>
        <v xml:space="preserve"> </v>
      </c>
      <c r="C110" s="58" t="str">
        <f>графік!D109</f>
        <v/>
      </c>
      <c r="D110" s="59" t="str">
        <f>графік!E109</f>
        <v/>
      </c>
      <c r="E110" s="60" t="str">
        <f>графік!H109</f>
        <v/>
      </c>
      <c r="F110" s="59" t="str">
        <f>графік!F109</f>
        <v/>
      </c>
      <c r="G110" s="60" t="str">
        <f>графік!G109</f>
        <v/>
      </c>
      <c r="H110" s="60"/>
      <c r="I110" s="60" t="str">
        <f>графік!M109</f>
        <v/>
      </c>
      <c r="J110" s="60"/>
      <c r="K110" s="60"/>
      <c r="L110" s="60"/>
      <c r="M110" s="60"/>
      <c r="N110" s="60"/>
      <c r="O110" s="60"/>
      <c r="P110" s="68" t="str">
        <f>графік!Q109</f>
        <v/>
      </c>
      <c r="Q110" s="60" t="str">
        <f t="shared" ca="1" si="2"/>
        <v xml:space="preserve"> </v>
      </c>
    </row>
    <row r="111" spans="1:17" hidden="1" x14ac:dyDescent="0.35">
      <c r="A111" s="56" t="str">
        <f>графік!A110</f>
        <v/>
      </c>
      <c r="B111" s="62" t="str">
        <f ca="1">графік!C110</f>
        <v xml:space="preserve"> </v>
      </c>
      <c r="C111" s="58" t="str">
        <f>графік!D110</f>
        <v/>
      </c>
      <c r="D111" s="59" t="str">
        <f>графік!E110</f>
        <v/>
      </c>
      <c r="E111" s="60" t="str">
        <f>графік!H110</f>
        <v/>
      </c>
      <c r="F111" s="59" t="str">
        <f>графік!F110</f>
        <v/>
      </c>
      <c r="G111" s="60" t="str">
        <f>графік!G110</f>
        <v/>
      </c>
      <c r="H111" s="60"/>
      <c r="I111" s="60" t="str">
        <f>графік!M110</f>
        <v/>
      </c>
      <c r="J111" s="60"/>
      <c r="K111" s="60"/>
      <c r="L111" s="60"/>
      <c r="M111" s="60"/>
      <c r="N111" s="60"/>
      <c r="O111" s="60"/>
      <c r="P111" s="68" t="str">
        <f>графік!Q110</f>
        <v/>
      </c>
      <c r="Q111" s="60" t="str">
        <f t="shared" ca="1" si="2"/>
        <v xml:space="preserve"> </v>
      </c>
    </row>
    <row r="112" spans="1:17" hidden="1" x14ac:dyDescent="0.35">
      <c r="A112" s="56" t="str">
        <f>графік!A111</f>
        <v/>
      </c>
      <c r="B112" s="62" t="str">
        <f ca="1">графік!C111</f>
        <v xml:space="preserve"> </v>
      </c>
      <c r="C112" s="58" t="str">
        <f>графік!D111</f>
        <v/>
      </c>
      <c r="D112" s="59" t="str">
        <f>графік!E111</f>
        <v/>
      </c>
      <c r="E112" s="60" t="str">
        <f>графік!H111</f>
        <v/>
      </c>
      <c r="F112" s="59" t="str">
        <f>графік!F111</f>
        <v/>
      </c>
      <c r="G112" s="60" t="str">
        <f>графік!G111</f>
        <v/>
      </c>
      <c r="H112" s="60"/>
      <c r="I112" s="60" t="str">
        <f>графік!M111</f>
        <v/>
      </c>
      <c r="J112" s="60"/>
      <c r="K112" s="60"/>
      <c r="L112" s="60"/>
      <c r="M112" s="60"/>
      <c r="N112" s="60"/>
      <c r="O112" s="60"/>
      <c r="P112" s="68" t="str">
        <f>графік!Q111</f>
        <v/>
      </c>
      <c r="Q112" s="60" t="str">
        <f t="shared" ca="1" si="2"/>
        <v xml:space="preserve"> </v>
      </c>
    </row>
    <row r="113" spans="1:17" hidden="1" x14ac:dyDescent="0.35">
      <c r="A113" s="56" t="str">
        <f>графік!A112</f>
        <v/>
      </c>
      <c r="B113" s="62" t="str">
        <f ca="1">графік!C112</f>
        <v xml:space="preserve"> </v>
      </c>
      <c r="C113" s="58" t="str">
        <f>графік!D112</f>
        <v/>
      </c>
      <c r="D113" s="59" t="str">
        <f>графік!E112</f>
        <v/>
      </c>
      <c r="E113" s="60" t="str">
        <f>графік!H112</f>
        <v/>
      </c>
      <c r="F113" s="59" t="str">
        <f>графік!F112</f>
        <v/>
      </c>
      <c r="G113" s="60" t="str">
        <f>графік!G112</f>
        <v/>
      </c>
      <c r="H113" s="60"/>
      <c r="I113" s="60" t="str">
        <f>графік!M112</f>
        <v/>
      </c>
      <c r="J113" s="60"/>
      <c r="K113" s="60"/>
      <c r="L113" s="60"/>
      <c r="M113" s="60"/>
      <c r="N113" s="60"/>
      <c r="O113" s="60"/>
      <c r="P113" s="68" t="str">
        <f>графік!Q112</f>
        <v/>
      </c>
      <c r="Q113" s="60" t="str">
        <f t="shared" ca="1" si="2"/>
        <v xml:space="preserve"> </v>
      </c>
    </row>
    <row r="114" spans="1:17" hidden="1" x14ac:dyDescent="0.35">
      <c r="A114" s="288" t="s">
        <v>101</v>
      </c>
      <c r="B114" s="288"/>
      <c r="C114" s="288"/>
      <c r="D114" s="288"/>
      <c r="E114" s="60" t="str">
        <f>графік!H113</f>
        <v/>
      </c>
      <c r="F114" s="59" t="str">
        <f>графік!F113</f>
        <v/>
      </c>
      <c r="G114" s="60" t="str">
        <f>графік!G113</f>
        <v/>
      </c>
      <c r="H114" s="60"/>
      <c r="I114" s="60" t="str">
        <f>графік!M113</f>
        <v/>
      </c>
      <c r="J114" s="60"/>
      <c r="K114" s="60"/>
      <c r="L114" s="60"/>
      <c r="M114" s="60"/>
      <c r="N114" s="60"/>
      <c r="O114" s="60"/>
      <c r="P114" s="61" t="str">
        <f>графік!Q113</f>
        <v/>
      </c>
      <c r="Q114" s="60" t="str">
        <f ca="1">IF(B113=$E$9,E114+$I$29," ")</f>
        <v xml:space="preserve"> </v>
      </c>
    </row>
    <row r="115" spans="1:17" x14ac:dyDescent="0.35">
      <c r="A115" s="55"/>
      <c r="B115" s="55"/>
      <c r="C115" s="55"/>
      <c r="D115" s="55"/>
      <c r="E115" s="55"/>
      <c r="F115" s="55"/>
      <c r="G115" s="55"/>
      <c r="H115" s="55"/>
      <c r="I115" s="55"/>
      <c r="J115" s="55"/>
      <c r="K115" s="55"/>
      <c r="L115" s="55"/>
      <c r="M115" s="55"/>
      <c r="N115" s="55"/>
      <c r="O115" s="55"/>
      <c r="P115" s="55"/>
      <c r="Q115" s="55"/>
    </row>
  </sheetData>
  <mergeCells count="41">
    <mergeCell ref="O11:P12"/>
    <mergeCell ref="P21:P28"/>
    <mergeCell ref="O5:P6"/>
    <mergeCell ref="Q5:Q6"/>
    <mergeCell ref="E14:F14"/>
    <mergeCell ref="E8:F8"/>
    <mergeCell ref="E9:F9"/>
    <mergeCell ref="E11:F11"/>
    <mergeCell ref="E13:F13"/>
    <mergeCell ref="Q8:Q9"/>
    <mergeCell ref="Q11:Q12"/>
    <mergeCell ref="O8:P9"/>
    <mergeCell ref="O10:P10"/>
    <mergeCell ref="Q21:Q28"/>
    <mergeCell ref="G22:G28"/>
    <mergeCell ref="I22:I27"/>
    <mergeCell ref="A2:Q2"/>
    <mergeCell ref="E4:F4"/>
    <mergeCell ref="E5:F5"/>
    <mergeCell ref="E6:F6"/>
    <mergeCell ref="E7:F7"/>
    <mergeCell ref="A114:D114"/>
    <mergeCell ref="A15:F15"/>
    <mergeCell ref="A16:B16"/>
    <mergeCell ref="A21:A28"/>
    <mergeCell ref="B21:B28"/>
    <mergeCell ref="C21:C28"/>
    <mergeCell ref="D21:D28"/>
    <mergeCell ref="E21:E28"/>
    <mergeCell ref="A17:B17"/>
    <mergeCell ref="A90:B90"/>
    <mergeCell ref="F22:F28"/>
    <mergeCell ref="N22:N27"/>
    <mergeCell ref="O22:O27"/>
    <mergeCell ref="H22:H28"/>
    <mergeCell ref="G21:K21"/>
    <mergeCell ref="J22:J27"/>
    <mergeCell ref="K22:K27"/>
    <mergeCell ref="L21:M21"/>
    <mergeCell ref="L22:L27"/>
    <mergeCell ref="M22:M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B32" sqref="B32"/>
    </sheetView>
  </sheetViews>
  <sheetFormatPr defaultColWidth="9.1796875" defaultRowHeight="14.5" x14ac:dyDescent="0.35"/>
  <cols>
    <col min="1" max="1" width="9.1796875" style="5"/>
    <col min="2" max="2" width="60.1796875" style="5" customWidth="1"/>
    <col min="3" max="3" width="26.7265625" style="5" bestFit="1" customWidth="1"/>
    <col min="4" max="4" width="19.26953125" style="5" bestFit="1" customWidth="1"/>
    <col min="5" max="5" width="9.1796875" style="5"/>
    <col min="6" max="6" width="50.7265625" style="5" customWidth="1"/>
    <col min="7" max="7" width="46.54296875" style="5" bestFit="1" customWidth="1"/>
    <col min="8" max="16384" width="9.1796875" style="5"/>
  </cols>
  <sheetData>
    <row r="1" spans="1:10" x14ac:dyDescent="0.35">
      <c r="A1" s="193"/>
      <c r="B1" s="194" t="s">
        <v>163</v>
      </c>
      <c r="C1" s="194"/>
      <c r="D1" s="195"/>
      <c r="E1" s="195"/>
      <c r="F1" s="193"/>
      <c r="G1" s="193"/>
      <c r="H1" s="196"/>
      <c r="I1" s="196"/>
      <c r="J1" s="197"/>
    </row>
    <row r="2" spans="1:10" ht="15.75" customHeight="1" x14ac:dyDescent="0.35">
      <c r="A2" s="198">
        <v>1</v>
      </c>
      <c r="B2" s="199" t="s">
        <v>164</v>
      </c>
      <c r="C2" s="200" t="s">
        <v>165</v>
      </c>
      <c r="D2" s="201" t="s">
        <v>166</v>
      </c>
      <c r="E2" s="198" t="s">
        <v>167</v>
      </c>
      <c r="F2" s="199" t="s">
        <v>168</v>
      </c>
      <c r="G2" s="198" t="s">
        <v>169</v>
      </c>
      <c r="H2" s="202" t="s">
        <v>170</v>
      </c>
      <c r="I2" s="203" t="s">
        <v>171</v>
      </c>
      <c r="J2" s="204" t="s">
        <v>172</v>
      </c>
    </row>
    <row r="3" spans="1:10" ht="12.75" customHeight="1" x14ac:dyDescent="0.35">
      <c r="A3" s="198">
        <v>2</v>
      </c>
      <c r="B3" s="199" t="s">
        <v>173</v>
      </c>
      <c r="C3" s="200" t="s">
        <v>174</v>
      </c>
      <c r="D3" s="201" t="s">
        <v>175</v>
      </c>
      <c r="E3" s="198" t="s">
        <v>176</v>
      </c>
      <c r="F3" s="199" t="s">
        <v>177</v>
      </c>
      <c r="G3" s="198" t="s">
        <v>178</v>
      </c>
      <c r="H3" s="202" t="s">
        <v>179</v>
      </c>
      <c r="I3" s="203" t="s">
        <v>180</v>
      </c>
      <c r="J3" s="204" t="s">
        <v>172</v>
      </c>
    </row>
    <row r="4" spans="1:10" ht="33.75" customHeight="1" x14ac:dyDescent="0.35">
      <c r="A4" s="198">
        <v>3</v>
      </c>
      <c r="B4" s="199" t="s">
        <v>181</v>
      </c>
      <c r="C4" s="200" t="s">
        <v>182</v>
      </c>
      <c r="D4" s="201" t="s">
        <v>183</v>
      </c>
      <c r="E4" s="198" t="s">
        <v>184</v>
      </c>
      <c r="F4" s="199" t="s">
        <v>185</v>
      </c>
      <c r="G4" s="198" t="s">
        <v>186</v>
      </c>
      <c r="H4" s="202" t="s">
        <v>187</v>
      </c>
      <c r="I4" s="203" t="s">
        <v>188</v>
      </c>
      <c r="J4" s="204" t="s">
        <v>172</v>
      </c>
    </row>
    <row r="5" spans="1:10" ht="16.5" customHeight="1" x14ac:dyDescent="0.35">
      <c r="A5" s="198">
        <v>4</v>
      </c>
      <c r="B5" s="199" t="s">
        <v>189</v>
      </c>
      <c r="C5" s="200" t="s">
        <v>190</v>
      </c>
      <c r="D5" s="201" t="s">
        <v>191</v>
      </c>
      <c r="E5" s="198" t="s">
        <v>192</v>
      </c>
      <c r="F5" s="199" t="s">
        <v>193</v>
      </c>
      <c r="G5" s="198" t="s">
        <v>194</v>
      </c>
      <c r="H5" s="202" t="s">
        <v>195</v>
      </c>
      <c r="I5" s="203" t="s">
        <v>196</v>
      </c>
      <c r="J5" s="204" t="s">
        <v>172</v>
      </c>
    </row>
    <row r="6" spans="1:10" ht="16.5" customHeight="1" x14ac:dyDescent="0.35">
      <c r="A6" s="198">
        <v>5</v>
      </c>
      <c r="B6" s="199" t="s">
        <v>197</v>
      </c>
      <c r="C6" s="200" t="s">
        <v>198</v>
      </c>
      <c r="D6" s="201" t="s">
        <v>199</v>
      </c>
      <c r="E6" s="198" t="s">
        <v>200</v>
      </c>
      <c r="F6" s="199" t="s">
        <v>201</v>
      </c>
      <c r="G6" s="198" t="s">
        <v>202</v>
      </c>
      <c r="H6" s="202" t="s">
        <v>203</v>
      </c>
      <c r="I6" s="203" t="s">
        <v>204</v>
      </c>
      <c r="J6" s="204" t="s">
        <v>172</v>
      </c>
    </row>
    <row r="7" spans="1:10" ht="41.25" customHeight="1" x14ac:dyDescent="0.35">
      <c r="A7" s="198">
        <v>6</v>
      </c>
      <c r="B7" s="199" t="s">
        <v>205</v>
      </c>
      <c r="C7" s="200" t="s">
        <v>206</v>
      </c>
      <c r="D7" s="201" t="s">
        <v>207</v>
      </c>
      <c r="E7" s="198" t="s">
        <v>208</v>
      </c>
      <c r="F7" s="199" t="s">
        <v>209</v>
      </c>
      <c r="G7" s="198" t="s">
        <v>210</v>
      </c>
      <c r="H7" s="202" t="s">
        <v>211</v>
      </c>
      <c r="I7" s="203" t="s">
        <v>212</v>
      </c>
      <c r="J7" s="204" t="s">
        <v>172</v>
      </c>
    </row>
    <row r="8" spans="1:10" ht="16.5" customHeight="1" x14ac:dyDescent="0.35">
      <c r="A8" s="198">
        <v>7</v>
      </c>
      <c r="B8" s="199" t="s">
        <v>213</v>
      </c>
      <c r="C8" s="200" t="s">
        <v>214</v>
      </c>
      <c r="D8" s="201" t="s">
        <v>215</v>
      </c>
      <c r="E8" s="198" t="s">
        <v>216</v>
      </c>
      <c r="F8" s="199" t="s">
        <v>217</v>
      </c>
      <c r="G8" s="198" t="s">
        <v>218</v>
      </c>
      <c r="H8" s="202" t="s">
        <v>219</v>
      </c>
      <c r="I8" s="203" t="s">
        <v>220</v>
      </c>
      <c r="J8" s="204" t="s">
        <v>172</v>
      </c>
    </row>
    <row r="9" spans="1:10" ht="16.5" customHeight="1" x14ac:dyDescent="0.35">
      <c r="A9" s="198">
        <v>8</v>
      </c>
      <c r="B9" s="199" t="s">
        <v>221</v>
      </c>
      <c r="C9" s="200" t="s">
        <v>222</v>
      </c>
      <c r="D9" s="201" t="s">
        <v>223</v>
      </c>
      <c r="E9" s="198" t="s">
        <v>224</v>
      </c>
      <c r="F9" s="199" t="s">
        <v>225</v>
      </c>
      <c r="G9" s="198" t="s">
        <v>226</v>
      </c>
      <c r="H9" s="202" t="s">
        <v>227</v>
      </c>
      <c r="I9" s="203" t="s">
        <v>228</v>
      </c>
      <c r="J9" s="204" t="s">
        <v>172</v>
      </c>
    </row>
    <row r="10" spans="1:10" ht="16.5" customHeight="1" x14ac:dyDescent="0.35">
      <c r="A10" s="198">
        <v>9</v>
      </c>
      <c r="B10" s="199" t="s">
        <v>229</v>
      </c>
      <c r="C10" s="200" t="s">
        <v>230</v>
      </c>
      <c r="D10" s="201" t="s">
        <v>231</v>
      </c>
      <c r="E10" s="198" t="s">
        <v>232</v>
      </c>
      <c r="F10" s="199" t="s">
        <v>233</v>
      </c>
      <c r="G10" s="198" t="s">
        <v>234</v>
      </c>
      <c r="H10" s="202" t="s">
        <v>235</v>
      </c>
      <c r="I10" s="203" t="s">
        <v>236</v>
      </c>
      <c r="J10" s="204" t="s">
        <v>172</v>
      </c>
    </row>
    <row r="11" spans="1:10" ht="16.5" customHeight="1" x14ac:dyDescent="0.35">
      <c r="A11" s="198">
        <v>10</v>
      </c>
      <c r="B11" s="199" t="s">
        <v>237</v>
      </c>
      <c r="C11" s="200" t="s">
        <v>238</v>
      </c>
      <c r="D11" s="201" t="s">
        <v>239</v>
      </c>
      <c r="E11" s="198" t="s">
        <v>240</v>
      </c>
      <c r="F11" s="199" t="s">
        <v>241</v>
      </c>
      <c r="G11" s="198" t="s">
        <v>242</v>
      </c>
      <c r="H11" s="202" t="s">
        <v>243</v>
      </c>
      <c r="I11" s="203" t="s">
        <v>244</v>
      </c>
      <c r="J11" s="204" t="s">
        <v>172</v>
      </c>
    </row>
    <row r="12" spans="1:10" ht="16.5" customHeight="1" x14ac:dyDescent="0.35">
      <c r="A12" s="198">
        <v>11</v>
      </c>
      <c r="B12" s="199" t="s">
        <v>245</v>
      </c>
      <c r="C12" s="200" t="s">
        <v>246</v>
      </c>
      <c r="D12" s="201" t="s">
        <v>247</v>
      </c>
      <c r="E12" s="198" t="s">
        <v>248</v>
      </c>
      <c r="F12" s="199" t="s">
        <v>249</v>
      </c>
      <c r="G12" s="198" t="s">
        <v>250</v>
      </c>
      <c r="H12" s="202" t="s">
        <v>251</v>
      </c>
      <c r="I12" s="203" t="s">
        <v>252</v>
      </c>
      <c r="J12" s="204" t="s">
        <v>172</v>
      </c>
    </row>
    <row r="13" spans="1:10" ht="16.5" customHeight="1" x14ac:dyDescent="0.35">
      <c r="A13" s="198">
        <v>12</v>
      </c>
      <c r="B13" s="199" t="s">
        <v>253</v>
      </c>
      <c r="C13" s="200" t="s">
        <v>254</v>
      </c>
      <c r="D13" s="201" t="s">
        <v>255</v>
      </c>
      <c r="E13" s="198" t="s">
        <v>256</v>
      </c>
      <c r="F13" s="199" t="s">
        <v>257</v>
      </c>
      <c r="G13" s="198" t="s">
        <v>258</v>
      </c>
      <c r="H13" s="202" t="s">
        <v>259</v>
      </c>
      <c r="I13" s="203" t="s">
        <v>260</v>
      </c>
      <c r="J13" s="204" t="s">
        <v>172</v>
      </c>
    </row>
    <row r="14" spans="1:10" ht="25.5" customHeight="1" x14ac:dyDescent="0.35">
      <c r="A14" s="198">
        <v>13</v>
      </c>
      <c r="B14" s="199" t="s">
        <v>261</v>
      </c>
      <c r="C14" s="200" t="s">
        <v>262</v>
      </c>
      <c r="D14" s="201" t="s">
        <v>263</v>
      </c>
      <c r="E14" s="198" t="s">
        <v>264</v>
      </c>
      <c r="F14" s="199" t="s">
        <v>265</v>
      </c>
      <c r="G14" s="198" t="s">
        <v>266</v>
      </c>
      <c r="H14" s="202" t="s">
        <v>267</v>
      </c>
      <c r="I14" s="203" t="s">
        <v>268</v>
      </c>
      <c r="J14" s="204" t="s">
        <v>172</v>
      </c>
    </row>
    <row r="15" spans="1:10" ht="28.5" customHeight="1" x14ac:dyDescent="0.35">
      <c r="A15" s="198">
        <v>14</v>
      </c>
      <c r="B15" s="199" t="s">
        <v>269</v>
      </c>
      <c r="C15" s="200" t="s">
        <v>270</v>
      </c>
      <c r="D15" s="201" t="s">
        <v>271</v>
      </c>
      <c r="E15" s="198" t="s">
        <v>272</v>
      </c>
      <c r="F15" s="199" t="s">
        <v>273</v>
      </c>
      <c r="G15" s="198" t="s">
        <v>274</v>
      </c>
      <c r="H15" s="202" t="s">
        <v>275</v>
      </c>
      <c r="I15" s="203" t="s">
        <v>276</v>
      </c>
      <c r="J15" s="204" t="s">
        <v>172</v>
      </c>
    </row>
    <row r="16" spans="1:10" ht="16.5" customHeight="1" x14ac:dyDescent="0.35">
      <c r="A16" s="198">
        <v>15</v>
      </c>
      <c r="B16" s="199" t="s">
        <v>277</v>
      </c>
      <c r="C16" s="200" t="s">
        <v>278</v>
      </c>
      <c r="D16" s="201" t="s">
        <v>279</v>
      </c>
      <c r="E16" s="198" t="s">
        <v>280</v>
      </c>
      <c r="F16" s="199" t="s">
        <v>281</v>
      </c>
      <c r="G16" s="198" t="s">
        <v>282</v>
      </c>
      <c r="H16" s="202" t="s">
        <v>283</v>
      </c>
      <c r="I16" s="203" t="s">
        <v>284</v>
      </c>
      <c r="J16" s="204" t="s">
        <v>172</v>
      </c>
    </row>
    <row r="17" spans="1:10" ht="16.5" customHeight="1" x14ac:dyDescent="0.35">
      <c r="A17" s="198">
        <v>16</v>
      </c>
      <c r="B17" s="199" t="s">
        <v>285</v>
      </c>
      <c r="C17" s="200" t="s">
        <v>286</v>
      </c>
      <c r="D17" s="201" t="s">
        <v>287</v>
      </c>
      <c r="E17" s="198" t="s">
        <v>288</v>
      </c>
      <c r="F17" s="199" t="s">
        <v>289</v>
      </c>
      <c r="G17" s="198" t="s">
        <v>290</v>
      </c>
      <c r="H17" s="202" t="s">
        <v>291</v>
      </c>
      <c r="I17" s="203" t="s">
        <v>292</v>
      </c>
      <c r="J17" s="204" t="s">
        <v>172</v>
      </c>
    </row>
    <row r="18" spans="1:10" ht="27" customHeight="1" x14ac:dyDescent="0.35">
      <c r="A18" s="198">
        <v>17</v>
      </c>
      <c r="B18" s="199" t="s">
        <v>293</v>
      </c>
      <c r="C18" s="200" t="s">
        <v>294</v>
      </c>
      <c r="D18" s="201" t="s">
        <v>295</v>
      </c>
      <c r="E18" s="198" t="s">
        <v>296</v>
      </c>
      <c r="F18" s="199" t="s">
        <v>297</v>
      </c>
      <c r="G18" s="198" t="s">
        <v>274</v>
      </c>
      <c r="H18" s="202" t="s">
        <v>298</v>
      </c>
      <c r="I18" s="203" t="s">
        <v>299</v>
      </c>
      <c r="J18" s="204" t="s">
        <v>172</v>
      </c>
    </row>
    <row r="19" spans="1:10" ht="28.5" customHeight="1" x14ac:dyDescent="0.35">
      <c r="A19" s="198">
        <v>18</v>
      </c>
      <c r="B19" s="199" t="s">
        <v>300</v>
      </c>
      <c r="C19" s="200" t="s">
        <v>301</v>
      </c>
      <c r="D19" s="201" t="s">
        <v>302</v>
      </c>
      <c r="E19" s="198" t="s">
        <v>303</v>
      </c>
      <c r="F19" s="199" t="s">
        <v>304</v>
      </c>
      <c r="G19" s="198" t="s">
        <v>305</v>
      </c>
      <c r="H19" s="202" t="s">
        <v>306</v>
      </c>
      <c r="I19" s="203" t="s">
        <v>307</v>
      </c>
      <c r="J19" s="204" t="s">
        <v>172</v>
      </c>
    </row>
    <row r="20" spans="1:10" ht="16.5" customHeight="1" x14ac:dyDescent="0.35">
      <c r="A20" s="198">
        <v>19</v>
      </c>
      <c r="B20" s="199" t="s">
        <v>308</v>
      </c>
      <c r="C20" s="200" t="s">
        <v>309</v>
      </c>
      <c r="D20" s="201" t="s">
        <v>310</v>
      </c>
      <c r="E20" s="198" t="s">
        <v>311</v>
      </c>
      <c r="F20" s="199" t="s">
        <v>312</v>
      </c>
      <c r="G20" s="198" t="s">
        <v>313</v>
      </c>
      <c r="H20" s="202" t="s">
        <v>314</v>
      </c>
      <c r="I20" s="203" t="s">
        <v>315</v>
      </c>
      <c r="J20" s="204" t="s">
        <v>316</v>
      </c>
    </row>
    <row r="21" spans="1:10" ht="20.25" customHeight="1" x14ac:dyDescent="0.35">
      <c r="A21" s="198">
        <v>20</v>
      </c>
      <c r="B21" s="199" t="s">
        <v>317</v>
      </c>
      <c r="C21" s="200" t="s">
        <v>318</v>
      </c>
      <c r="D21" s="201" t="s">
        <v>319</v>
      </c>
      <c r="E21" s="198" t="s">
        <v>320</v>
      </c>
      <c r="F21" s="199" t="s">
        <v>321</v>
      </c>
      <c r="G21" s="198" t="s">
        <v>322</v>
      </c>
      <c r="H21" s="202" t="s">
        <v>323</v>
      </c>
      <c r="I21" s="203" t="s">
        <v>324</v>
      </c>
      <c r="J21" s="204" t="s">
        <v>172</v>
      </c>
    </row>
    <row r="22" spans="1:10" ht="29.25" customHeight="1" x14ac:dyDescent="0.35">
      <c r="A22" s="198">
        <v>21</v>
      </c>
      <c r="B22" s="199" t="s">
        <v>325</v>
      </c>
      <c r="C22" s="200" t="s">
        <v>326</v>
      </c>
      <c r="D22" s="201" t="s">
        <v>327</v>
      </c>
      <c r="E22" s="198" t="s">
        <v>328</v>
      </c>
      <c r="F22" s="199" t="s">
        <v>329</v>
      </c>
      <c r="G22" s="198" t="s">
        <v>330</v>
      </c>
      <c r="H22" s="202" t="s">
        <v>331</v>
      </c>
      <c r="I22" s="203" t="s">
        <v>332</v>
      </c>
      <c r="J22" s="204" t="s">
        <v>172</v>
      </c>
    </row>
    <row r="23" spans="1:10" ht="27" customHeight="1" x14ac:dyDescent="0.35">
      <c r="A23" s="198">
        <v>22</v>
      </c>
      <c r="B23" s="199" t="s">
        <v>333</v>
      </c>
      <c r="C23" s="200" t="s">
        <v>334</v>
      </c>
      <c r="D23" s="201" t="s">
        <v>335</v>
      </c>
      <c r="E23" s="198" t="s">
        <v>336</v>
      </c>
      <c r="F23" s="199" t="s">
        <v>337</v>
      </c>
      <c r="G23" s="198" t="s">
        <v>338</v>
      </c>
      <c r="H23" s="202" t="s">
        <v>339</v>
      </c>
      <c r="I23" s="203" t="s">
        <v>340</v>
      </c>
      <c r="J23" s="204" t="s">
        <v>172</v>
      </c>
    </row>
    <row r="24" spans="1:10" ht="17.25" customHeight="1" x14ac:dyDescent="0.35">
      <c r="A24" s="198">
        <v>23</v>
      </c>
      <c r="B24" s="199" t="s">
        <v>341</v>
      </c>
      <c r="C24" s="200" t="s">
        <v>342</v>
      </c>
      <c r="D24" s="201" t="s">
        <v>343</v>
      </c>
      <c r="E24" s="198" t="s">
        <v>344</v>
      </c>
      <c r="F24" s="199" t="s">
        <v>345</v>
      </c>
      <c r="G24" s="198" t="s">
        <v>346</v>
      </c>
      <c r="H24" s="202" t="s">
        <v>347</v>
      </c>
      <c r="I24" s="203" t="s">
        <v>348</v>
      </c>
      <c r="J24" s="204" t="s">
        <v>172</v>
      </c>
    </row>
    <row r="25" spans="1:10" ht="31.5" customHeight="1" x14ac:dyDescent="0.35">
      <c r="A25" s="198">
        <v>24</v>
      </c>
      <c r="B25" s="199" t="s">
        <v>349</v>
      </c>
      <c r="C25" s="200" t="s">
        <v>350</v>
      </c>
      <c r="D25" s="201" t="s">
        <v>351</v>
      </c>
      <c r="E25" s="198" t="s">
        <v>352</v>
      </c>
      <c r="F25" s="199" t="s">
        <v>353</v>
      </c>
      <c r="G25" s="198" t="s">
        <v>354</v>
      </c>
      <c r="H25" s="202" t="s">
        <v>355</v>
      </c>
      <c r="I25" s="203" t="s">
        <v>356</v>
      </c>
      <c r="J25" s="204" t="s">
        <v>172</v>
      </c>
    </row>
    <row r="26" spans="1:10" ht="26.25" customHeight="1" x14ac:dyDescent="0.35">
      <c r="A26" s="198">
        <v>25</v>
      </c>
      <c r="B26" s="199" t="s">
        <v>357</v>
      </c>
      <c r="C26" s="200" t="s">
        <v>358</v>
      </c>
      <c r="D26" s="201" t="s">
        <v>359</v>
      </c>
      <c r="E26" s="198" t="s">
        <v>360</v>
      </c>
      <c r="F26" s="199" t="s">
        <v>361</v>
      </c>
      <c r="G26" s="198" t="s">
        <v>362</v>
      </c>
      <c r="H26" s="202" t="s">
        <v>363</v>
      </c>
      <c r="I26" s="203" t="s">
        <v>364</v>
      </c>
      <c r="J26" s="204" t="s">
        <v>172</v>
      </c>
    </row>
    <row r="27" spans="1:10" ht="17.25" customHeight="1" x14ac:dyDescent="0.35">
      <c r="A27" s="198">
        <v>26</v>
      </c>
      <c r="B27" s="199" t="s">
        <v>365</v>
      </c>
      <c r="C27" s="200" t="s">
        <v>366</v>
      </c>
      <c r="D27" s="201" t="s">
        <v>367</v>
      </c>
      <c r="E27" s="198" t="s">
        <v>368</v>
      </c>
      <c r="F27" s="199" t="s">
        <v>369</v>
      </c>
      <c r="G27" s="198" t="s">
        <v>370</v>
      </c>
      <c r="H27" s="202" t="s">
        <v>371</v>
      </c>
      <c r="I27" s="203" t="s">
        <v>372</v>
      </c>
      <c r="J27" s="204" t="s">
        <v>172</v>
      </c>
    </row>
    <row r="28" spans="1:10" ht="17.25" customHeight="1" x14ac:dyDescent="0.35">
      <c r="A28" s="198">
        <v>27</v>
      </c>
      <c r="B28" s="199" t="s">
        <v>373</v>
      </c>
      <c r="C28" s="200" t="s">
        <v>374</v>
      </c>
      <c r="D28" s="201" t="s">
        <v>375</v>
      </c>
      <c r="E28" s="198" t="s">
        <v>376</v>
      </c>
      <c r="F28" s="199" t="s">
        <v>377</v>
      </c>
      <c r="G28" s="198" t="s">
        <v>378</v>
      </c>
      <c r="H28" s="202" t="s">
        <v>379</v>
      </c>
      <c r="I28" s="203" t="s">
        <v>380</v>
      </c>
      <c r="J28" s="204" t="s">
        <v>172</v>
      </c>
    </row>
    <row r="29" spans="1:10" ht="17.25" customHeight="1" x14ac:dyDescent="0.35">
      <c r="A29" s="198">
        <v>28</v>
      </c>
      <c r="B29" s="199" t="s">
        <v>381</v>
      </c>
      <c r="C29" s="200" t="s">
        <v>382</v>
      </c>
      <c r="D29" s="201" t="s">
        <v>383</v>
      </c>
      <c r="E29" s="198" t="s">
        <v>384</v>
      </c>
      <c r="F29" s="199" t="s">
        <v>385</v>
      </c>
      <c r="G29" s="198" t="s">
        <v>386</v>
      </c>
      <c r="H29" s="202" t="s">
        <v>387</v>
      </c>
      <c r="I29" s="203" t="s">
        <v>388</v>
      </c>
      <c r="J29" s="204" t="s">
        <v>172</v>
      </c>
    </row>
    <row r="30" spans="1:10" ht="29.25" customHeight="1" x14ac:dyDescent="0.35">
      <c r="A30" s="198">
        <v>29</v>
      </c>
      <c r="B30" s="199" t="s">
        <v>389</v>
      </c>
      <c r="C30" s="200" t="s">
        <v>390</v>
      </c>
      <c r="D30" s="201" t="s">
        <v>391</v>
      </c>
      <c r="E30" s="198" t="s">
        <v>392</v>
      </c>
      <c r="F30" s="199" t="s">
        <v>393</v>
      </c>
      <c r="G30" s="198" t="s">
        <v>394</v>
      </c>
      <c r="H30" s="202" t="s">
        <v>395</v>
      </c>
      <c r="I30" s="203" t="s">
        <v>396</v>
      </c>
      <c r="J30" s="204" t="s">
        <v>172</v>
      </c>
    </row>
    <row r="31" spans="1:10" ht="28.5" customHeight="1" x14ac:dyDescent="0.35">
      <c r="A31" s="198">
        <v>30</v>
      </c>
      <c r="B31" s="199" t="s">
        <v>397</v>
      </c>
      <c r="C31" s="200" t="s">
        <v>398</v>
      </c>
      <c r="D31" s="201" t="s">
        <v>399</v>
      </c>
      <c r="E31" s="198" t="s">
        <v>400</v>
      </c>
      <c r="F31" s="199" t="s">
        <v>401</v>
      </c>
      <c r="G31" s="198" t="s">
        <v>402</v>
      </c>
      <c r="H31" s="202" t="s">
        <v>403</v>
      </c>
      <c r="I31" s="203" t="s">
        <v>404</v>
      </c>
      <c r="J31" s="204" t="s">
        <v>172</v>
      </c>
    </row>
    <row r="32" spans="1:10" ht="35.25" customHeight="1" x14ac:dyDescent="0.35">
      <c r="A32" s="198">
        <v>31</v>
      </c>
      <c r="B32" s="199" t="s">
        <v>405</v>
      </c>
      <c r="C32" s="200" t="s">
        <v>406</v>
      </c>
      <c r="D32" s="201" t="s">
        <v>407</v>
      </c>
      <c r="E32" s="198" t="s">
        <v>408</v>
      </c>
      <c r="F32" s="199" t="s">
        <v>409</v>
      </c>
      <c r="G32" s="198" t="s">
        <v>410</v>
      </c>
      <c r="H32" s="202" t="s">
        <v>411</v>
      </c>
      <c r="I32" s="203" t="s">
        <v>412</v>
      </c>
      <c r="J32" s="204" t="s">
        <v>172</v>
      </c>
    </row>
    <row r="33" spans="1:10" ht="17.25" customHeight="1" x14ac:dyDescent="0.35">
      <c r="A33" s="198">
        <v>32</v>
      </c>
      <c r="B33" s="199" t="s">
        <v>413</v>
      </c>
      <c r="C33" s="200" t="s">
        <v>414</v>
      </c>
      <c r="D33" s="201" t="s">
        <v>415</v>
      </c>
      <c r="E33" s="198" t="s">
        <v>416</v>
      </c>
      <c r="F33" s="199" t="s">
        <v>417</v>
      </c>
      <c r="G33" s="198" t="s">
        <v>418</v>
      </c>
      <c r="H33" s="202" t="s">
        <v>419</v>
      </c>
      <c r="I33" s="203" t="s">
        <v>420</v>
      </c>
      <c r="J33" s="204" t="s">
        <v>172</v>
      </c>
    </row>
    <row r="34" spans="1:10" ht="17.25" customHeight="1" x14ac:dyDescent="0.35">
      <c r="A34" s="198">
        <v>33</v>
      </c>
      <c r="B34" s="199" t="s">
        <v>421</v>
      </c>
      <c r="C34" s="200" t="s">
        <v>422</v>
      </c>
      <c r="D34" s="201" t="s">
        <v>423</v>
      </c>
      <c r="E34" s="198" t="s">
        <v>424</v>
      </c>
      <c r="F34" s="199" t="s">
        <v>425</v>
      </c>
      <c r="G34" s="198" t="s">
        <v>426</v>
      </c>
      <c r="H34" s="202" t="s">
        <v>427</v>
      </c>
      <c r="I34" s="203" t="s">
        <v>428</v>
      </c>
      <c r="J34" s="204" t="s">
        <v>172</v>
      </c>
    </row>
    <row r="35" spans="1:10" ht="17.25" customHeight="1" x14ac:dyDescent="0.35">
      <c r="A35" s="198">
        <v>34</v>
      </c>
      <c r="B35" s="199" t="s">
        <v>429</v>
      </c>
      <c r="C35" s="200" t="s">
        <v>430</v>
      </c>
      <c r="D35" s="201" t="s">
        <v>431</v>
      </c>
      <c r="E35" s="198" t="s">
        <v>432</v>
      </c>
      <c r="F35" s="199" t="s">
        <v>433</v>
      </c>
      <c r="G35" s="198" t="s">
        <v>434</v>
      </c>
      <c r="H35" s="202" t="s">
        <v>435</v>
      </c>
      <c r="I35" s="203" t="s">
        <v>436</v>
      </c>
      <c r="J35" s="204" t="s">
        <v>172</v>
      </c>
    </row>
    <row r="36" spans="1:10" ht="39.75" customHeight="1" x14ac:dyDescent="0.35">
      <c r="A36" s="198">
        <v>35</v>
      </c>
      <c r="B36" s="199" t="s">
        <v>437</v>
      </c>
      <c r="C36" s="200" t="s">
        <v>438</v>
      </c>
      <c r="D36" s="201" t="s">
        <v>439</v>
      </c>
      <c r="E36" s="198" t="s">
        <v>440</v>
      </c>
      <c r="F36" s="199" t="s">
        <v>441</v>
      </c>
      <c r="G36" s="198" t="s">
        <v>442</v>
      </c>
      <c r="H36" s="202" t="s">
        <v>443</v>
      </c>
      <c r="I36" s="203" t="s">
        <v>444</v>
      </c>
      <c r="J36" s="204" t="s">
        <v>172</v>
      </c>
    </row>
    <row r="37" spans="1:10" ht="36.75" customHeight="1" x14ac:dyDescent="0.35">
      <c r="A37" s="198">
        <v>36</v>
      </c>
      <c r="B37" s="199" t="s">
        <v>445</v>
      </c>
      <c r="C37" s="200" t="s">
        <v>446</v>
      </c>
      <c r="D37" s="201" t="s">
        <v>447</v>
      </c>
      <c r="E37" s="198" t="s">
        <v>448</v>
      </c>
      <c r="F37" s="199" t="s">
        <v>449</v>
      </c>
      <c r="G37" s="198" t="s">
        <v>450</v>
      </c>
      <c r="H37" s="202" t="s">
        <v>451</v>
      </c>
      <c r="I37" s="203" t="s">
        <v>452</v>
      </c>
      <c r="J37" s="204" t="s">
        <v>172</v>
      </c>
    </row>
    <row r="38" spans="1:10" ht="36" customHeight="1" x14ac:dyDescent="0.35">
      <c r="A38" s="198">
        <v>37</v>
      </c>
      <c r="B38" s="199" t="s">
        <v>453</v>
      </c>
      <c r="C38" s="200" t="s">
        <v>454</v>
      </c>
      <c r="D38" s="201" t="s">
        <v>455</v>
      </c>
      <c r="E38" s="198" t="s">
        <v>456</v>
      </c>
      <c r="F38" s="199" t="s">
        <v>457</v>
      </c>
      <c r="G38" s="198" t="s">
        <v>458</v>
      </c>
      <c r="H38" s="202" t="s">
        <v>459</v>
      </c>
      <c r="I38" s="203" t="s">
        <v>460</v>
      </c>
      <c r="J38" s="204" t="s">
        <v>172</v>
      </c>
    </row>
    <row r="39" spans="1:10" ht="36.75" customHeight="1" x14ac:dyDescent="0.35">
      <c r="A39" s="198">
        <v>38</v>
      </c>
      <c r="B39" s="199" t="s">
        <v>461</v>
      </c>
      <c r="C39" s="200" t="s">
        <v>462</v>
      </c>
      <c r="D39" s="201" t="s">
        <v>463</v>
      </c>
      <c r="E39" s="198" t="s">
        <v>464</v>
      </c>
      <c r="F39" s="199" t="s">
        <v>465</v>
      </c>
      <c r="G39" s="198" t="s">
        <v>466</v>
      </c>
      <c r="H39" s="202" t="s">
        <v>467</v>
      </c>
      <c r="I39" s="203" t="s">
        <v>468</v>
      </c>
      <c r="J39" s="204" t="s">
        <v>172</v>
      </c>
    </row>
    <row r="40" spans="1:10" ht="39" customHeight="1" x14ac:dyDescent="0.35">
      <c r="A40" s="198">
        <v>39</v>
      </c>
      <c r="B40" s="199" t="s">
        <v>469</v>
      </c>
      <c r="C40" s="200" t="s">
        <v>470</v>
      </c>
      <c r="D40" s="201" t="s">
        <v>471</v>
      </c>
      <c r="E40" s="198" t="s">
        <v>472</v>
      </c>
      <c r="F40" s="199" t="s">
        <v>473</v>
      </c>
      <c r="G40" s="198" t="s">
        <v>474</v>
      </c>
      <c r="H40" s="202" t="s">
        <v>475</v>
      </c>
      <c r="I40" s="203" t="s">
        <v>476</v>
      </c>
      <c r="J40" s="204" t="s">
        <v>172</v>
      </c>
    </row>
    <row r="41" spans="1:10" ht="41.25" customHeight="1" x14ac:dyDescent="0.35">
      <c r="A41" s="198">
        <v>40</v>
      </c>
      <c r="B41" s="199" t="s">
        <v>477</v>
      </c>
      <c r="C41" s="200" t="s">
        <v>478</v>
      </c>
      <c r="D41" s="201" t="s">
        <v>479</v>
      </c>
      <c r="E41" s="198" t="s">
        <v>480</v>
      </c>
      <c r="F41" s="199" t="s">
        <v>481</v>
      </c>
      <c r="G41" s="198" t="s">
        <v>482</v>
      </c>
      <c r="H41" s="202" t="s">
        <v>483</v>
      </c>
      <c r="I41" s="203" t="s">
        <v>484</v>
      </c>
      <c r="J41" s="204" t="s">
        <v>172</v>
      </c>
    </row>
    <row r="42" spans="1:10" ht="17.25" customHeight="1" x14ac:dyDescent="0.35">
      <c r="A42" s="198">
        <v>41</v>
      </c>
      <c r="B42" s="199" t="s">
        <v>485</v>
      </c>
      <c r="C42" s="200" t="s">
        <v>486</v>
      </c>
      <c r="D42" s="201" t="s">
        <v>487</v>
      </c>
      <c r="E42" s="198" t="s">
        <v>488</v>
      </c>
      <c r="F42" s="199" t="s">
        <v>489</v>
      </c>
      <c r="G42" s="198" t="s">
        <v>490</v>
      </c>
      <c r="H42" s="202" t="s">
        <v>491</v>
      </c>
      <c r="I42" s="203" t="s">
        <v>492</v>
      </c>
      <c r="J42" s="204" t="s">
        <v>172</v>
      </c>
    </row>
    <row r="43" spans="1:10" ht="17.25" customHeight="1" x14ac:dyDescent="0.35">
      <c r="A43" s="198">
        <v>42</v>
      </c>
      <c r="B43" s="199" t="s">
        <v>493</v>
      </c>
      <c r="C43" s="200" t="s">
        <v>494</v>
      </c>
      <c r="D43" s="201" t="s">
        <v>495</v>
      </c>
      <c r="E43" s="198" t="s">
        <v>496</v>
      </c>
      <c r="F43" s="199" t="s">
        <v>497</v>
      </c>
      <c r="G43" s="198" t="s">
        <v>498</v>
      </c>
      <c r="H43" s="202" t="s">
        <v>499</v>
      </c>
      <c r="I43" s="203" t="s">
        <v>500</v>
      </c>
      <c r="J43" s="204" t="s">
        <v>172</v>
      </c>
    </row>
    <row r="44" spans="1:10" ht="17.25" customHeight="1" x14ac:dyDescent="0.35">
      <c r="A44" s="198">
        <v>43</v>
      </c>
      <c r="B44" s="199" t="s">
        <v>501</v>
      </c>
      <c r="C44" s="200" t="s">
        <v>502</v>
      </c>
      <c r="D44" s="201" t="s">
        <v>503</v>
      </c>
      <c r="E44" s="198" t="s">
        <v>504</v>
      </c>
      <c r="F44" s="199" t="s">
        <v>505</v>
      </c>
      <c r="G44" s="198" t="s">
        <v>506</v>
      </c>
      <c r="H44" s="202" t="s">
        <v>507</v>
      </c>
      <c r="I44" s="203" t="s">
        <v>508</v>
      </c>
      <c r="J44" s="204" t="s">
        <v>172</v>
      </c>
    </row>
    <row r="45" spans="1:10" ht="17.25" customHeight="1" x14ac:dyDescent="0.35">
      <c r="A45" s="198">
        <v>44</v>
      </c>
      <c r="B45" s="199" t="s">
        <v>509</v>
      </c>
      <c r="C45" s="200" t="s">
        <v>510</v>
      </c>
      <c r="D45" s="201" t="s">
        <v>511</v>
      </c>
      <c r="E45" s="198" t="s">
        <v>512</v>
      </c>
      <c r="F45" s="199" t="s">
        <v>513</v>
      </c>
      <c r="G45" s="198" t="s">
        <v>514</v>
      </c>
      <c r="H45" s="202" t="s">
        <v>515</v>
      </c>
      <c r="I45" s="203" t="s">
        <v>516</v>
      </c>
      <c r="J45" s="204" t="s">
        <v>172</v>
      </c>
    </row>
    <row r="46" spans="1:10" ht="17.25" customHeight="1" x14ac:dyDescent="0.35">
      <c r="A46" s="198">
        <v>45</v>
      </c>
      <c r="B46" s="199" t="s">
        <v>517</v>
      </c>
      <c r="C46" s="200" t="s">
        <v>518</v>
      </c>
      <c r="D46" s="201" t="s">
        <v>519</v>
      </c>
      <c r="E46" s="198" t="s">
        <v>520</v>
      </c>
      <c r="F46" s="199" t="s">
        <v>521</v>
      </c>
      <c r="G46" s="198" t="s">
        <v>522</v>
      </c>
      <c r="H46" s="202" t="s">
        <v>523</v>
      </c>
      <c r="I46" s="203" t="s">
        <v>524</v>
      </c>
      <c r="J46" s="204"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паспорт</vt:lpstr>
      <vt:lpstr>графік</vt:lpstr>
      <vt:lpstr>дод 1 до дог кред</vt:lpstr>
      <vt:lpstr>Лист1</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2019-03-13T13:29:53Z</cp:lastPrinted>
  <dcterms:created xsi:type="dcterms:W3CDTF">2017-10-13T07:54:03Z</dcterms:created>
  <dcterms:modified xsi:type="dcterms:W3CDTF">2021-07-12T06:31:42Z</dcterms:modified>
</cp:coreProperties>
</file>